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brewer\Documents\00_An 830 Mtg Deadline\"/>
    </mc:Choice>
  </mc:AlternateContent>
  <bookViews>
    <workbookView xWindow="0" yWindow="0" windowWidth="15000" windowHeight="7170" firstSheet="6" activeTab="12"/>
  </bookViews>
  <sheets>
    <sheet name="Incentive Summary" sheetId="2" r:id="rId1"/>
    <sheet name="Mega Project Tax Credit" sheetId="1" r:id="rId2"/>
    <sheet name="Materials Exemption" sheetId="3" r:id="rId3"/>
    <sheet name="Amazon Academy of GA" sheetId="7" r:id="rId4"/>
    <sheet name="State Grant" sheetId="4" r:id="rId5"/>
    <sheet name="Lease Purchase for Abatement" sheetId="6" r:id="rId6"/>
    <sheet name="Lease Purchase Schedule" sheetId="9" r:id="rId7"/>
    <sheet name="Local Grant" sheetId="8" r:id="rId8"/>
    <sheet name="Impact Fees" sheetId="10" r:id="rId9"/>
    <sheet name="Local Summary" sheetId="11" r:id="rId10"/>
    <sheet name="Local District Specific" sheetId="12" r:id="rId11"/>
    <sheet name="Local Infrastructure Investment" sheetId="13" r:id="rId12"/>
    <sheet name="Big Ideas" sheetId="14" r:id="rId13"/>
  </sheets>
  <definedNames>
    <definedName name="_xlnm.Print_Area" localSheetId="3">'Amazon Academy of GA'!$A$1:$E$26</definedName>
    <definedName name="_xlnm.Print_Area" localSheetId="8">'Impact Fees'!$A$1:$S$31</definedName>
    <definedName name="_xlnm.Print_Area" localSheetId="0">'Incentive Summary'!$A$1:$G$26</definedName>
    <definedName name="_xlnm.Print_Area" localSheetId="10">'Local District Specific'!$A$1:$D$24</definedName>
    <definedName name="_xlnm.Print_Area" localSheetId="7">'Local Grant'!$A$2:$S$32</definedName>
    <definedName name="_xlnm.Print_Area" localSheetId="2">'Materials Exemption'!$A$1:$S$33</definedName>
    <definedName name="_xlnm.Print_Area" localSheetId="4">'State Grant'!$A$1:$S$32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7" l="1"/>
  <c r="W43" i="1" l="1"/>
  <c r="P28" i="6"/>
  <c r="C32" i="6" l="1"/>
  <c r="C10" i="12" l="1"/>
  <c r="M15" i="14" l="1"/>
  <c r="B8" i="11"/>
  <c r="F11" i="13"/>
  <c r="G11" i="13" s="1"/>
  <c r="G10" i="13"/>
  <c r="F10" i="13"/>
  <c r="G9" i="13"/>
  <c r="G8" i="13"/>
  <c r="G12" i="13" s="1"/>
  <c r="B7" i="11" s="1"/>
  <c r="D19" i="12"/>
  <c r="D14" i="12"/>
  <c r="D15" i="12" s="1"/>
  <c r="C11" i="12"/>
  <c r="C9" i="12"/>
  <c r="C8" i="12"/>
  <c r="D21" i="12" l="1"/>
  <c r="B6" i="11" s="1"/>
  <c r="B10" i="11" s="1"/>
  <c r="G16" i="2" l="1"/>
  <c r="C31" i="10"/>
  <c r="G18" i="2"/>
  <c r="F18" i="2"/>
  <c r="B28" i="8"/>
  <c r="C28" i="8"/>
  <c r="D28" i="8"/>
  <c r="E28" i="8"/>
  <c r="F28" i="8"/>
  <c r="G28" i="8"/>
  <c r="H28" i="8"/>
  <c r="I28" i="8"/>
  <c r="J28" i="8"/>
  <c r="K28" i="8"/>
  <c r="C32" i="8"/>
  <c r="G17" i="2"/>
  <c r="F17" i="2"/>
  <c r="G7" i="2"/>
  <c r="D24" i="7"/>
  <c r="D20" i="7"/>
  <c r="D19" i="7"/>
  <c r="D18" i="7"/>
  <c r="D15" i="7"/>
  <c r="D14" i="7"/>
  <c r="D13" i="7"/>
  <c r="D12" i="7"/>
  <c r="D11" i="7"/>
  <c r="D10" i="7"/>
  <c r="D9" i="7"/>
  <c r="D17" i="7"/>
  <c r="D22" i="7"/>
  <c r="D26" i="7"/>
  <c r="F7" i="2" s="1"/>
  <c r="E9" i="7"/>
  <c r="E8" i="7"/>
  <c r="C9" i="9"/>
  <c r="D9" i="9" s="1"/>
  <c r="E9" i="9" s="1"/>
  <c r="F9" i="9" s="1"/>
  <c r="C10" i="9"/>
  <c r="D10" i="9" s="1"/>
  <c r="E10" i="9" s="1"/>
  <c r="F10" i="9" s="1"/>
  <c r="C11" i="9"/>
  <c r="D11" i="9" s="1"/>
  <c r="E11" i="9" s="1"/>
  <c r="F11" i="9" s="1"/>
  <c r="C12" i="9"/>
  <c r="D12" i="9" s="1"/>
  <c r="E12" i="9" s="1"/>
  <c r="F12" i="9" s="1"/>
  <c r="C13" i="9"/>
  <c r="D13" i="9" s="1"/>
  <c r="E13" i="9" s="1"/>
  <c r="F13" i="9" s="1"/>
  <c r="C14" i="9"/>
  <c r="D14" i="9" s="1"/>
  <c r="E14" i="9" s="1"/>
  <c r="F14" i="9" s="1"/>
  <c r="C15" i="9"/>
  <c r="D15" i="9" s="1"/>
  <c r="E15" i="9" s="1"/>
  <c r="F15" i="9" s="1"/>
  <c r="C16" i="9"/>
  <c r="D16" i="9" s="1"/>
  <c r="E16" i="9" s="1"/>
  <c r="F16" i="9" s="1"/>
  <c r="C17" i="9"/>
  <c r="D17" i="9" s="1"/>
  <c r="E17" i="9" s="1"/>
  <c r="F17" i="9" s="1"/>
  <c r="C18" i="9"/>
  <c r="D18" i="9" s="1"/>
  <c r="E18" i="9" s="1"/>
  <c r="F18" i="9" s="1"/>
  <c r="F16" i="2"/>
  <c r="B8" i="3"/>
  <c r="B29" i="3"/>
  <c r="C29" i="3"/>
  <c r="C8" i="3"/>
  <c r="D29" i="3"/>
  <c r="D8" i="3"/>
  <c r="E29" i="3"/>
  <c r="E8" i="3"/>
  <c r="F29" i="3"/>
  <c r="F8" i="3"/>
  <c r="G29" i="3"/>
  <c r="G8" i="3"/>
  <c r="H29" i="3"/>
  <c r="H8" i="3"/>
  <c r="I29" i="3"/>
  <c r="I8" i="3"/>
  <c r="J29" i="3"/>
  <c r="J8" i="3"/>
  <c r="K29" i="3"/>
  <c r="K8" i="3"/>
  <c r="L29" i="3"/>
  <c r="L8" i="3"/>
  <c r="M29" i="3"/>
  <c r="M8" i="3"/>
  <c r="N29" i="3"/>
  <c r="N8" i="3"/>
  <c r="O29" i="3"/>
  <c r="O8" i="3"/>
  <c r="P29" i="3"/>
  <c r="P8" i="3"/>
  <c r="Q29" i="3"/>
  <c r="Q8" i="3"/>
  <c r="R29" i="3"/>
  <c r="C33" i="3"/>
  <c r="B26" i="1"/>
  <c r="B43" i="1" s="1"/>
  <c r="C26" i="1"/>
  <c r="C27" i="1"/>
  <c r="C43" i="1"/>
  <c r="D26" i="1"/>
  <c r="D27" i="1"/>
  <c r="C9" i="1"/>
  <c r="F28" i="1" s="1"/>
  <c r="E26" i="1"/>
  <c r="E27" i="1"/>
  <c r="D9" i="1"/>
  <c r="E29" i="1" s="1"/>
  <c r="F26" i="1"/>
  <c r="F27" i="1"/>
  <c r="E9" i="1"/>
  <c r="G30" i="1" s="1"/>
  <c r="F30" i="1"/>
  <c r="G27" i="1"/>
  <c r="G28" i="1"/>
  <c r="F9" i="1"/>
  <c r="G31" i="1" s="1"/>
  <c r="H30" i="1"/>
  <c r="H31" i="1"/>
  <c r="G9" i="1"/>
  <c r="H32" i="1" s="1"/>
  <c r="I30" i="1"/>
  <c r="I31" i="1"/>
  <c r="H9" i="1"/>
  <c r="I33" i="1" s="1"/>
  <c r="J30" i="1"/>
  <c r="J31" i="1"/>
  <c r="J32" i="1"/>
  <c r="I9" i="1"/>
  <c r="J34" i="1"/>
  <c r="K31" i="1"/>
  <c r="K32" i="1"/>
  <c r="K33" i="1"/>
  <c r="K34" i="1"/>
  <c r="J9" i="1"/>
  <c r="K35" i="1" s="1"/>
  <c r="K43" i="1" s="1"/>
  <c r="L32" i="1"/>
  <c r="L34" i="1"/>
  <c r="L35" i="1"/>
  <c r="K9" i="1"/>
  <c r="L36" i="1" s="1"/>
  <c r="M33" i="1"/>
  <c r="M34" i="1"/>
  <c r="M35" i="1"/>
  <c r="L9" i="1"/>
  <c r="M37" i="1" s="1"/>
  <c r="N34" i="1"/>
  <c r="N35" i="1"/>
  <c r="N36" i="1"/>
  <c r="M9" i="1"/>
  <c r="N38" i="1"/>
  <c r="O35" i="1"/>
  <c r="O37" i="1"/>
  <c r="O38" i="1"/>
  <c r="N9" i="1"/>
  <c r="O39" i="1" s="1"/>
  <c r="P36" i="1"/>
  <c r="P38" i="1"/>
  <c r="P39" i="1"/>
  <c r="O9" i="1"/>
  <c r="P40" i="1" s="1"/>
  <c r="Q37" i="1"/>
  <c r="Q38" i="1"/>
  <c r="Q39" i="1"/>
  <c r="P9" i="1"/>
  <c r="Q41" i="1" s="1"/>
  <c r="R38" i="1"/>
  <c r="R39" i="1"/>
  <c r="R40" i="1"/>
  <c r="Q9" i="1"/>
  <c r="R42" i="1"/>
  <c r="S39" i="1"/>
  <c r="S41" i="1"/>
  <c r="S42" i="1"/>
  <c r="T41" i="1"/>
  <c r="T42" i="1"/>
  <c r="U42" i="1"/>
  <c r="V42" i="1"/>
  <c r="V43" i="1" s="1"/>
  <c r="E26" i="7"/>
  <c r="G6" i="2"/>
  <c r="C32" i="4"/>
  <c r="G8" i="2" s="1"/>
  <c r="B33" i="3"/>
  <c r="F6" i="2"/>
  <c r="B32" i="4"/>
  <c r="F8" i="2" s="1"/>
  <c r="R28" i="10"/>
  <c r="B19" i="10"/>
  <c r="C9" i="10"/>
  <c r="C10" i="10"/>
  <c r="C19" i="10"/>
  <c r="D9" i="10"/>
  <c r="D10" i="10"/>
  <c r="D19" i="10"/>
  <c r="E9" i="10"/>
  <c r="E10" i="10"/>
  <c r="E19" i="10"/>
  <c r="F9" i="10"/>
  <c r="F10" i="10"/>
  <c r="F19" i="10"/>
  <c r="G9" i="10"/>
  <c r="G10" i="10"/>
  <c r="G19" i="10"/>
  <c r="H9" i="10"/>
  <c r="H10" i="10"/>
  <c r="H19" i="10"/>
  <c r="I9" i="10"/>
  <c r="I10" i="10"/>
  <c r="I19" i="10"/>
  <c r="J9" i="10"/>
  <c r="J10" i="10"/>
  <c r="J19" i="10"/>
  <c r="K9" i="10"/>
  <c r="K10" i="10"/>
  <c r="K19" i="10"/>
  <c r="L9" i="10"/>
  <c r="L10" i="10"/>
  <c r="L19" i="10"/>
  <c r="M9" i="10"/>
  <c r="M10" i="10"/>
  <c r="M19" i="10"/>
  <c r="N9" i="10"/>
  <c r="N10" i="10"/>
  <c r="N19" i="10"/>
  <c r="O9" i="10"/>
  <c r="O10" i="10"/>
  <c r="O19" i="10"/>
  <c r="P9" i="10"/>
  <c r="P10" i="10"/>
  <c r="P19" i="10"/>
  <c r="Q9" i="10"/>
  <c r="Q10" i="10"/>
  <c r="Q19" i="10"/>
  <c r="C18" i="10"/>
  <c r="D18" i="10"/>
  <c r="E18" i="10"/>
  <c r="F18" i="10"/>
  <c r="G18" i="10"/>
  <c r="H18" i="10"/>
  <c r="I18" i="10"/>
  <c r="J18" i="10"/>
  <c r="K18" i="10"/>
  <c r="L18" i="10"/>
  <c r="M18" i="10"/>
  <c r="N18" i="10"/>
  <c r="O18" i="10"/>
  <c r="P18" i="10"/>
  <c r="Q18" i="10"/>
  <c r="B17" i="10"/>
  <c r="C8" i="10"/>
  <c r="C17" i="10"/>
  <c r="D8" i="10"/>
  <c r="D17" i="10"/>
  <c r="E8" i="10"/>
  <c r="E17" i="10"/>
  <c r="F8" i="10"/>
  <c r="F17" i="10"/>
  <c r="G8" i="10"/>
  <c r="G17" i="10"/>
  <c r="H8" i="10"/>
  <c r="H17" i="10"/>
  <c r="I8" i="10"/>
  <c r="I17" i="10"/>
  <c r="J8" i="10"/>
  <c r="J17" i="10"/>
  <c r="K8" i="10"/>
  <c r="K17" i="10"/>
  <c r="L8" i="10"/>
  <c r="L17" i="10"/>
  <c r="M8" i="10"/>
  <c r="M17" i="10"/>
  <c r="N8" i="10"/>
  <c r="N17" i="10"/>
  <c r="O8" i="10"/>
  <c r="O17" i="10"/>
  <c r="P8" i="10"/>
  <c r="P17" i="10"/>
  <c r="Q8" i="10"/>
  <c r="Q17" i="10"/>
  <c r="C16" i="10"/>
  <c r="D16" i="10"/>
  <c r="E16" i="10"/>
  <c r="F16" i="10"/>
  <c r="G16" i="10"/>
  <c r="H16" i="10"/>
  <c r="I16" i="10"/>
  <c r="J16" i="10"/>
  <c r="K16" i="10"/>
  <c r="L16" i="10"/>
  <c r="M16" i="10"/>
  <c r="N16" i="10"/>
  <c r="O16" i="10"/>
  <c r="P16" i="10"/>
  <c r="Q16" i="10"/>
  <c r="R9" i="10"/>
  <c r="R10" i="10"/>
  <c r="B10" i="10"/>
  <c r="B8" i="10"/>
  <c r="R8" i="10"/>
  <c r="R7" i="10"/>
  <c r="C19" i="9"/>
  <c r="D19" i="9" s="1"/>
  <c r="E19" i="9" s="1"/>
  <c r="F19" i="9" s="1"/>
  <c r="R28" i="8"/>
  <c r="B19" i="8"/>
  <c r="C9" i="8"/>
  <c r="C10" i="8"/>
  <c r="C19" i="8"/>
  <c r="D9" i="8"/>
  <c r="D10" i="8"/>
  <c r="D19" i="8"/>
  <c r="E9" i="8"/>
  <c r="E10" i="8"/>
  <c r="E19" i="8"/>
  <c r="F9" i="8"/>
  <c r="F10" i="8"/>
  <c r="F19" i="8"/>
  <c r="G9" i="8"/>
  <c r="G10" i="8"/>
  <c r="G19" i="8"/>
  <c r="H9" i="8"/>
  <c r="H10" i="8"/>
  <c r="H19" i="8"/>
  <c r="I9" i="8"/>
  <c r="I10" i="8"/>
  <c r="I19" i="8"/>
  <c r="J9" i="8"/>
  <c r="J10" i="8"/>
  <c r="J19" i="8"/>
  <c r="K9" i="8"/>
  <c r="K10" i="8"/>
  <c r="K19" i="8"/>
  <c r="L9" i="8"/>
  <c r="L10" i="8"/>
  <c r="L19" i="8"/>
  <c r="M9" i="8"/>
  <c r="M10" i="8"/>
  <c r="M19" i="8"/>
  <c r="N9" i="8"/>
  <c r="N10" i="8"/>
  <c r="N19" i="8"/>
  <c r="O9" i="8"/>
  <c r="O10" i="8"/>
  <c r="O19" i="8"/>
  <c r="P9" i="8"/>
  <c r="P10" i="8"/>
  <c r="P19" i="8"/>
  <c r="Q9" i="8"/>
  <c r="Q10" i="8"/>
  <c r="Q19" i="8"/>
  <c r="C18" i="8"/>
  <c r="D18" i="8"/>
  <c r="E18" i="8"/>
  <c r="F18" i="8"/>
  <c r="G18" i="8"/>
  <c r="H18" i="8"/>
  <c r="I18" i="8"/>
  <c r="J18" i="8"/>
  <c r="K18" i="8"/>
  <c r="L18" i="8"/>
  <c r="M18" i="8"/>
  <c r="N18" i="8"/>
  <c r="O18" i="8"/>
  <c r="P18" i="8"/>
  <c r="Q18" i="8"/>
  <c r="B17" i="8"/>
  <c r="C8" i="8"/>
  <c r="C17" i="8"/>
  <c r="D8" i="8"/>
  <c r="D17" i="8"/>
  <c r="E8" i="8"/>
  <c r="E17" i="8"/>
  <c r="F8" i="8"/>
  <c r="F17" i="8"/>
  <c r="G8" i="8"/>
  <c r="G17" i="8"/>
  <c r="H8" i="8"/>
  <c r="H17" i="8"/>
  <c r="I8" i="8"/>
  <c r="I17" i="8"/>
  <c r="J8" i="8"/>
  <c r="J17" i="8"/>
  <c r="K8" i="8"/>
  <c r="K17" i="8"/>
  <c r="L8" i="8"/>
  <c r="L17" i="8"/>
  <c r="M8" i="8"/>
  <c r="M17" i="8"/>
  <c r="N8" i="8"/>
  <c r="N17" i="8"/>
  <c r="O8" i="8"/>
  <c r="O17" i="8"/>
  <c r="P8" i="8"/>
  <c r="P17" i="8"/>
  <c r="Q8" i="8"/>
  <c r="Q17" i="8"/>
  <c r="C16" i="8"/>
  <c r="D16" i="8"/>
  <c r="E16" i="8"/>
  <c r="F16" i="8"/>
  <c r="G16" i="8"/>
  <c r="H16" i="8"/>
  <c r="I16" i="8"/>
  <c r="J16" i="8"/>
  <c r="K16" i="8"/>
  <c r="L16" i="8"/>
  <c r="M16" i="8"/>
  <c r="N16" i="8"/>
  <c r="O16" i="8"/>
  <c r="P16" i="8"/>
  <c r="Q16" i="8"/>
  <c r="R9" i="8"/>
  <c r="R10" i="8"/>
  <c r="B10" i="8"/>
  <c r="B8" i="8"/>
  <c r="R8" i="8"/>
  <c r="R7" i="8"/>
  <c r="E18" i="7"/>
  <c r="C19" i="7"/>
  <c r="E19" i="7"/>
  <c r="E20" i="7"/>
  <c r="E17" i="7"/>
  <c r="E23" i="7"/>
  <c r="E24" i="7"/>
  <c r="E22" i="7"/>
  <c r="C9" i="7"/>
  <c r="E10" i="7"/>
  <c r="E11" i="7"/>
  <c r="C12" i="7"/>
  <c r="E12" i="7"/>
  <c r="E13" i="7"/>
  <c r="E14" i="7"/>
  <c r="E15" i="7"/>
  <c r="C17" i="7"/>
  <c r="C23" i="7"/>
  <c r="C22" i="7"/>
  <c r="C8" i="7"/>
  <c r="C26" i="7"/>
  <c r="B20" i="6"/>
  <c r="C10" i="6"/>
  <c r="C11" i="6"/>
  <c r="C20" i="6"/>
  <c r="D10" i="6"/>
  <c r="D11" i="6"/>
  <c r="D20" i="6"/>
  <c r="E10" i="6"/>
  <c r="E11" i="6"/>
  <c r="E20" i="6"/>
  <c r="F10" i="6"/>
  <c r="F11" i="6"/>
  <c r="F20" i="6"/>
  <c r="G10" i="6"/>
  <c r="G11" i="6"/>
  <c r="G20" i="6"/>
  <c r="H10" i="6"/>
  <c r="H11" i="6"/>
  <c r="H20" i="6"/>
  <c r="I10" i="6"/>
  <c r="I11" i="6"/>
  <c r="I20" i="6"/>
  <c r="J10" i="6"/>
  <c r="J11" i="6"/>
  <c r="J20" i="6"/>
  <c r="K10" i="6"/>
  <c r="K11" i="6"/>
  <c r="K20" i="6"/>
  <c r="L10" i="6"/>
  <c r="L11" i="6"/>
  <c r="L20" i="6"/>
  <c r="M10" i="6"/>
  <c r="M11" i="6"/>
  <c r="M20" i="6"/>
  <c r="N10" i="6"/>
  <c r="N11" i="6"/>
  <c r="N20" i="6"/>
  <c r="O10" i="6"/>
  <c r="O11" i="6"/>
  <c r="O20" i="6"/>
  <c r="P10" i="6"/>
  <c r="P11" i="6"/>
  <c r="P20" i="6"/>
  <c r="Q10" i="6"/>
  <c r="Q11" i="6"/>
  <c r="Q20" i="6"/>
  <c r="C19" i="6"/>
  <c r="D19" i="6"/>
  <c r="E19" i="6"/>
  <c r="F19" i="6"/>
  <c r="G19" i="6"/>
  <c r="H19" i="6"/>
  <c r="I19" i="6"/>
  <c r="J19" i="6"/>
  <c r="K19" i="6"/>
  <c r="L19" i="6"/>
  <c r="M19" i="6"/>
  <c r="N19" i="6"/>
  <c r="O19" i="6"/>
  <c r="P19" i="6"/>
  <c r="Q19" i="6"/>
  <c r="B18" i="6"/>
  <c r="C9" i="6"/>
  <c r="C18" i="6"/>
  <c r="D9" i="6"/>
  <c r="D18" i="6"/>
  <c r="E9" i="6"/>
  <c r="E18" i="6"/>
  <c r="F9" i="6"/>
  <c r="F18" i="6"/>
  <c r="G9" i="6"/>
  <c r="G18" i="6"/>
  <c r="H9" i="6"/>
  <c r="H18" i="6"/>
  <c r="I9" i="6"/>
  <c r="I18" i="6"/>
  <c r="J9" i="6"/>
  <c r="J18" i="6"/>
  <c r="K9" i="6"/>
  <c r="K18" i="6"/>
  <c r="L9" i="6"/>
  <c r="L18" i="6"/>
  <c r="M9" i="6"/>
  <c r="M18" i="6"/>
  <c r="N9" i="6"/>
  <c r="N18" i="6"/>
  <c r="O9" i="6"/>
  <c r="O18" i="6"/>
  <c r="P9" i="6"/>
  <c r="P18" i="6"/>
  <c r="Q9" i="6"/>
  <c r="Q18" i="6"/>
  <c r="C17" i="6"/>
  <c r="D17" i="6"/>
  <c r="E17" i="6"/>
  <c r="F17" i="6"/>
  <c r="G17" i="6"/>
  <c r="H17" i="6"/>
  <c r="I17" i="6"/>
  <c r="J17" i="6"/>
  <c r="K17" i="6"/>
  <c r="L17" i="6"/>
  <c r="M17" i="6"/>
  <c r="N17" i="6"/>
  <c r="O17" i="6"/>
  <c r="P17" i="6"/>
  <c r="Q17" i="6"/>
  <c r="R10" i="6"/>
  <c r="R11" i="6"/>
  <c r="B11" i="6"/>
  <c r="B9" i="6"/>
  <c r="R9" i="6"/>
  <c r="R8" i="6"/>
  <c r="B8" i="4"/>
  <c r="C8" i="4"/>
  <c r="D8" i="4"/>
  <c r="E8" i="4"/>
  <c r="R8" i="4" s="1"/>
  <c r="F8" i="4"/>
  <c r="G8" i="4"/>
  <c r="H8" i="4"/>
  <c r="I8" i="4"/>
  <c r="J8" i="4"/>
  <c r="K8" i="4"/>
  <c r="L8" i="4"/>
  <c r="M8" i="4"/>
  <c r="N8" i="4"/>
  <c r="O8" i="4"/>
  <c r="P8" i="4"/>
  <c r="Q8" i="4"/>
  <c r="B18" i="4"/>
  <c r="B16" i="4"/>
  <c r="C15" i="4"/>
  <c r="D15" i="4" s="1"/>
  <c r="E15" i="4" s="1"/>
  <c r="F15" i="4" s="1"/>
  <c r="G15" i="4" s="1"/>
  <c r="H15" i="4" s="1"/>
  <c r="I15" i="4" s="1"/>
  <c r="J15" i="4" s="1"/>
  <c r="K15" i="4" s="1"/>
  <c r="L15" i="4" s="1"/>
  <c r="M15" i="4" s="1"/>
  <c r="N15" i="4" s="1"/>
  <c r="O15" i="4" s="1"/>
  <c r="P15" i="4" s="1"/>
  <c r="Q15" i="4" s="1"/>
  <c r="N9" i="4"/>
  <c r="N10" i="4"/>
  <c r="B10" i="4"/>
  <c r="Q9" i="4"/>
  <c r="Q10" i="4" s="1"/>
  <c r="P9" i="4"/>
  <c r="P10" i="4" s="1"/>
  <c r="O9" i="4"/>
  <c r="O10" i="4" s="1"/>
  <c r="M9" i="4"/>
  <c r="M10" i="4" s="1"/>
  <c r="L9" i="4"/>
  <c r="L10" i="4" s="1"/>
  <c r="K9" i="4"/>
  <c r="K10" i="4" s="1"/>
  <c r="J9" i="4"/>
  <c r="J10" i="4" s="1"/>
  <c r="I9" i="4"/>
  <c r="I10" i="4" s="1"/>
  <c r="H9" i="4"/>
  <c r="H10" i="4" s="1"/>
  <c r="G9" i="4"/>
  <c r="G10" i="4" s="1"/>
  <c r="F9" i="4"/>
  <c r="F10" i="4" s="1"/>
  <c r="E9" i="4"/>
  <c r="E10" i="4" s="1"/>
  <c r="D9" i="4"/>
  <c r="D10" i="4" s="1"/>
  <c r="C9" i="4"/>
  <c r="C10" i="4" s="1"/>
  <c r="C18" i="4" s="1"/>
  <c r="R7" i="4"/>
  <c r="B18" i="3"/>
  <c r="B16" i="3"/>
  <c r="C15" i="3"/>
  <c r="D15" i="3"/>
  <c r="E15" i="3"/>
  <c r="F15" i="3"/>
  <c r="G15" i="3"/>
  <c r="H15" i="3"/>
  <c r="I15" i="3"/>
  <c r="J15" i="3"/>
  <c r="K15" i="3"/>
  <c r="L15" i="3"/>
  <c r="M15" i="3"/>
  <c r="N15" i="3"/>
  <c r="O15" i="3"/>
  <c r="P15" i="3"/>
  <c r="Q15" i="3"/>
  <c r="B10" i="3"/>
  <c r="Q9" i="3"/>
  <c r="P9" i="3"/>
  <c r="O9" i="3"/>
  <c r="N9" i="3"/>
  <c r="N10" i="3"/>
  <c r="M9" i="3"/>
  <c r="L9" i="3"/>
  <c r="K9" i="3"/>
  <c r="J9" i="3"/>
  <c r="J10" i="3"/>
  <c r="I9" i="3"/>
  <c r="H9" i="3"/>
  <c r="G9" i="3"/>
  <c r="F9" i="3"/>
  <c r="F10" i="3"/>
  <c r="E9" i="3"/>
  <c r="D9" i="3"/>
  <c r="C9" i="3"/>
  <c r="R7" i="3"/>
  <c r="C16" i="4"/>
  <c r="D16" i="4" s="1"/>
  <c r="E16" i="4" s="1"/>
  <c r="F16" i="4" s="1"/>
  <c r="G16" i="4" s="1"/>
  <c r="H16" i="4" s="1"/>
  <c r="I16" i="4" s="1"/>
  <c r="J16" i="4" s="1"/>
  <c r="K16" i="4" s="1"/>
  <c r="L16" i="4" s="1"/>
  <c r="M16" i="4" s="1"/>
  <c r="N16" i="4" s="1"/>
  <c r="O16" i="4" s="1"/>
  <c r="P16" i="4" s="1"/>
  <c r="Q16" i="4" s="1"/>
  <c r="R8" i="3"/>
  <c r="C16" i="3"/>
  <c r="D16" i="3"/>
  <c r="E16" i="3"/>
  <c r="F16" i="3"/>
  <c r="G16" i="3"/>
  <c r="H16" i="3"/>
  <c r="I16" i="3"/>
  <c r="J16" i="3"/>
  <c r="K16" i="3"/>
  <c r="L16" i="3"/>
  <c r="M16" i="3"/>
  <c r="N16" i="3"/>
  <c r="O16" i="3"/>
  <c r="P16" i="3"/>
  <c r="Q16" i="3"/>
  <c r="C17" i="3"/>
  <c r="D17" i="3"/>
  <c r="E17" i="3"/>
  <c r="F17" i="3"/>
  <c r="G17" i="3"/>
  <c r="H17" i="3"/>
  <c r="I17" i="3"/>
  <c r="J17" i="3"/>
  <c r="K17" i="3"/>
  <c r="L17" i="3"/>
  <c r="M17" i="3"/>
  <c r="N17" i="3"/>
  <c r="O17" i="3"/>
  <c r="P17" i="3"/>
  <c r="Q17" i="3"/>
  <c r="C10" i="3"/>
  <c r="C18" i="3"/>
  <c r="G10" i="3"/>
  <c r="K10" i="3"/>
  <c r="O10" i="3"/>
  <c r="D10" i="3"/>
  <c r="H10" i="3"/>
  <c r="L10" i="3"/>
  <c r="P10" i="3"/>
  <c r="R9" i="3"/>
  <c r="R10" i="3"/>
  <c r="E10" i="3"/>
  <c r="I10" i="3"/>
  <c r="M10" i="3"/>
  <c r="Q10" i="3"/>
  <c r="D18" i="3"/>
  <c r="E18" i="3"/>
  <c r="F18" i="3"/>
  <c r="G18" i="3"/>
  <c r="H18" i="3"/>
  <c r="I18" i="3"/>
  <c r="J18" i="3"/>
  <c r="K18" i="3"/>
  <c r="L18" i="3"/>
  <c r="M18" i="3"/>
  <c r="N18" i="3"/>
  <c r="O18" i="3"/>
  <c r="P18" i="3"/>
  <c r="Q18" i="3"/>
  <c r="C16" i="1"/>
  <c r="D16" i="1"/>
  <c r="E16" i="1" s="1"/>
  <c r="F16" i="1" s="1"/>
  <c r="G16" i="1" s="1"/>
  <c r="H16" i="1" s="1"/>
  <c r="I16" i="1" s="1"/>
  <c r="J16" i="1" s="1"/>
  <c r="K16" i="1" s="1"/>
  <c r="L16" i="1" s="1"/>
  <c r="M16" i="1" s="1"/>
  <c r="N16" i="1" s="1"/>
  <c r="O16" i="1" s="1"/>
  <c r="P16" i="1" s="1"/>
  <c r="Q16" i="1" s="1"/>
  <c r="B19" i="1"/>
  <c r="B17" i="1"/>
  <c r="B10" i="1"/>
  <c r="F10" i="1"/>
  <c r="J10" i="1"/>
  <c r="C8" i="1"/>
  <c r="C17" i="1" s="1"/>
  <c r="D17" i="1" s="1"/>
  <c r="E17" i="1" s="1"/>
  <c r="F17" i="1" s="1"/>
  <c r="G17" i="1" s="1"/>
  <c r="H17" i="1" s="1"/>
  <c r="I17" i="1" s="1"/>
  <c r="J17" i="1" s="1"/>
  <c r="K17" i="1" s="1"/>
  <c r="L17" i="1" s="1"/>
  <c r="M17" i="1" s="1"/>
  <c r="N17" i="1" s="1"/>
  <c r="O17" i="1" s="1"/>
  <c r="P17" i="1" s="1"/>
  <c r="Q17" i="1" s="1"/>
  <c r="D8" i="1"/>
  <c r="E8" i="1"/>
  <c r="F8" i="1"/>
  <c r="G8" i="1"/>
  <c r="H8" i="1"/>
  <c r="I8" i="1"/>
  <c r="J8" i="1"/>
  <c r="K8" i="1"/>
  <c r="L8" i="1"/>
  <c r="M8" i="1"/>
  <c r="N8" i="1"/>
  <c r="O8" i="1"/>
  <c r="P8" i="1"/>
  <c r="Q8" i="1"/>
  <c r="B8" i="1"/>
  <c r="R8" i="1" s="1"/>
  <c r="Q10" i="1"/>
  <c r="M10" i="1"/>
  <c r="I10" i="1"/>
  <c r="E10" i="1"/>
  <c r="P10" i="1"/>
  <c r="L10" i="1"/>
  <c r="C18" i="1"/>
  <c r="D18" i="1" s="1"/>
  <c r="E18" i="1" s="1"/>
  <c r="F18" i="1" s="1"/>
  <c r="G18" i="1" s="1"/>
  <c r="H18" i="1" s="1"/>
  <c r="I18" i="1" s="1"/>
  <c r="J18" i="1" s="1"/>
  <c r="K18" i="1" s="1"/>
  <c r="L18" i="1" s="1"/>
  <c r="M18" i="1" s="1"/>
  <c r="N18" i="1" s="1"/>
  <c r="O18" i="1" s="1"/>
  <c r="P18" i="1" s="1"/>
  <c r="Q18" i="1" s="1"/>
  <c r="N10" i="1"/>
  <c r="O10" i="1"/>
  <c r="K10" i="1"/>
  <c r="G10" i="1"/>
  <c r="C10" i="1"/>
  <c r="C19" i="1" s="1"/>
  <c r="R7" i="1"/>
  <c r="D18" i="4" l="1"/>
  <c r="E18" i="4" s="1"/>
  <c r="F18" i="4" s="1"/>
  <c r="G18" i="4" s="1"/>
  <c r="H18" i="4" s="1"/>
  <c r="I18" i="4" s="1"/>
  <c r="J18" i="4" s="1"/>
  <c r="K18" i="4" s="1"/>
  <c r="L18" i="4" s="1"/>
  <c r="M18" i="4" s="1"/>
  <c r="N18" i="4" s="1"/>
  <c r="O18" i="4" s="1"/>
  <c r="P18" i="4" s="1"/>
  <c r="Q18" i="4" s="1"/>
  <c r="R9" i="4"/>
  <c r="R10" i="4" s="1"/>
  <c r="C17" i="4"/>
  <c r="D17" i="4" s="1"/>
  <c r="E17" i="4" s="1"/>
  <c r="F17" i="4" s="1"/>
  <c r="G17" i="4" s="1"/>
  <c r="H17" i="4" s="1"/>
  <c r="I17" i="4" s="1"/>
  <c r="J17" i="4" s="1"/>
  <c r="K17" i="4" s="1"/>
  <c r="L17" i="4" s="1"/>
  <c r="M17" i="4" s="1"/>
  <c r="N17" i="4" s="1"/>
  <c r="O17" i="4" s="1"/>
  <c r="P17" i="4" s="1"/>
  <c r="Q17" i="4" s="1"/>
  <c r="G16" i="9"/>
  <c r="K16" i="9"/>
  <c r="H16" i="9"/>
  <c r="N16" i="9"/>
  <c r="J16" i="9"/>
  <c r="I16" i="9"/>
  <c r="O16" i="9"/>
  <c r="G12" i="9"/>
  <c r="K12" i="9"/>
  <c r="H12" i="9"/>
  <c r="N12" i="9"/>
  <c r="I12" i="9"/>
  <c r="O12" i="9"/>
  <c r="J12" i="9"/>
  <c r="G15" i="9"/>
  <c r="K15" i="9"/>
  <c r="J15" i="9"/>
  <c r="H15" i="9"/>
  <c r="N15" i="9"/>
  <c r="I15" i="9"/>
  <c r="O15" i="9"/>
  <c r="G11" i="9"/>
  <c r="K11" i="9"/>
  <c r="H11" i="9"/>
  <c r="N11" i="9"/>
  <c r="I11" i="9"/>
  <c r="O11" i="9"/>
  <c r="J11" i="9"/>
  <c r="H19" i="9"/>
  <c r="N19" i="9"/>
  <c r="K19" i="9"/>
  <c r="I19" i="9"/>
  <c r="O19" i="9"/>
  <c r="G19" i="9"/>
  <c r="J19" i="9"/>
  <c r="G18" i="9"/>
  <c r="K18" i="9"/>
  <c r="H18" i="9"/>
  <c r="N18" i="9"/>
  <c r="I18" i="9"/>
  <c r="O18" i="9"/>
  <c r="J18" i="9"/>
  <c r="G14" i="9"/>
  <c r="K14" i="9"/>
  <c r="H14" i="9"/>
  <c r="N14" i="9"/>
  <c r="J14" i="9"/>
  <c r="I14" i="9"/>
  <c r="O14" i="9"/>
  <c r="G10" i="9"/>
  <c r="K10" i="9"/>
  <c r="J10" i="9"/>
  <c r="H10" i="9"/>
  <c r="N10" i="9"/>
  <c r="I10" i="9"/>
  <c r="O10" i="9"/>
  <c r="G17" i="9"/>
  <c r="K17" i="9"/>
  <c r="H17" i="9"/>
  <c r="N17" i="9"/>
  <c r="I17" i="9"/>
  <c r="O17" i="9"/>
  <c r="J17" i="9"/>
  <c r="G13" i="9"/>
  <c r="K13" i="9"/>
  <c r="J13" i="9"/>
  <c r="H13" i="9"/>
  <c r="N13" i="9"/>
  <c r="I13" i="9"/>
  <c r="O13" i="9"/>
  <c r="G9" i="9"/>
  <c r="K9" i="9"/>
  <c r="H9" i="9"/>
  <c r="N9" i="9"/>
  <c r="I9" i="9"/>
  <c r="O9" i="9"/>
  <c r="J9" i="9"/>
  <c r="J43" i="1"/>
  <c r="F43" i="1"/>
  <c r="M43" i="1"/>
  <c r="G29" i="1"/>
  <c r="G43" i="1" s="1"/>
  <c r="D10" i="1"/>
  <c r="D19" i="1" s="1"/>
  <c r="E19" i="1" s="1"/>
  <c r="F19" i="1" s="1"/>
  <c r="G19" i="1" s="1"/>
  <c r="H19" i="1" s="1"/>
  <c r="I19" i="1" s="1"/>
  <c r="J19" i="1" s="1"/>
  <c r="K19" i="1" s="1"/>
  <c r="L19" i="1" s="1"/>
  <c r="M19" i="1" s="1"/>
  <c r="N19" i="1" s="1"/>
  <c r="O19" i="1" s="1"/>
  <c r="P19" i="1" s="1"/>
  <c r="Q19" i="1" s="1"/>
  <c r="U41" i="1"/>
  <c r="U43" i="1" s="1"/>
  <c r="T40" i="1"/>
  <c r="T43" i="1" s="1"/>
  <c r="S40" i="1"/>
  <c r="S43" i="1" s="1"/>
  <c r="Q40" i="1"/>
  <c r="Q43" i="1" s="1"/>
  <c r="O36" i="1"/>
  <c r="O43" i="1" s="1"/>
  <c r="M36" i="1"/>
  <c r="I32" i="1"/>
  <c r="E28" i="1"/>
  <c r="E43" i="1" s="1"/>
  <c r="D28" i="1"/>
  <c r="D43" i="1" s="1"/>
  <c r="R9" i="1"/>
  <c r="R10" i="1" s="1"/>
  <c r="I29" i="1"/>
  <c r="I43" i="1" s="1"/>
  <c r="H10" i="1"/>
  <c r="R41" i="1"/>
  <c r="R43" i="1" s="1"/>
  <c r="P37" i="1"/>
  <c r="P43" i="1" s="1"/>
  <c r="N37" i="1"/>
  <c r="N43" i="1" s="1"/>
  <c r="L33" i="1"/>
  <c r="L43" i="1" s="1"/>
  <c r="J33" i="1"/>
  <c r="H29" i="1"/>
  <c r="F29" i="1"/>
  <c r="H28" i="1"/>
  <c r="H43" i="1" s="1"/>
  <c r="F19" i="2"/>
  <c r="G19" i="2"/>
  <c r="P18" i="9" l="1"/>
  <c r="P12" i="9"/>
  <c r="P9" i="9"/>
  <c r="P14" i="9"/>
  <c r="P15" i="9"/>
  <c r="P10" i="9"/>
  <c r="P19" i="9"/>
  <c r="P11" i="9"/>
  <c r="P13" i="9"/>
  <c r="P17" i="9"/>
  <c r="P16" i="9"/>
  <c r="B47" i="1"/>
  <c r="F5" i="2" s="1"/>
  <c r="F9" i="2" s="1"/>
  <c r="F25" i="2" s="1"/>
  <c r="P20" i="9" l="1"/>
  <c r="C47" i="1"/>
  <c r="G5" i="2" s="1"/>
  <c r="G9" i="2" s="1"/>
  <c r="G25" i="2" s="1"/>
</calcChain>
</file>

<file path=xl/comments1.xml><?xml version="1.0" encoding="utf-8"?>
<comments xmlns="http://schemas.openxmlformats.org/spreadsheetml/2006/main">
  <authors>
    <author>Beck, Stephanie</author>
  </authors>
  <commentList>
    <comment ref="B18" authorId="0" shapeId="0">
      <text>
        <r>
          <rPr>
            <b/>
            <sz val="9"/>
            <color indexed="81"/>
            <rFont val="Tahoma"/>
            <charset val="1"/>
          </rPr>
          <t>Beck, Stephanie:</t>
        </r>
        <r>
          <rPr>
            <sz val="9"/>
            <color indexed="81"/>
            <rFont val="Tahoma"/>
            <charset val="1"/>
          </rPr>
          <t xml:space="preserve">
30 instructors and operations</t>
        </r>
      </text>
    </comment>
    <comment ref="B23" authorId="0" shapeId="0">
      <text>
        <r>
          <rPr>
            <b/>
            <sz val="9"/>
            <color indexed="81"/>
            <rFont val="Tahoma"/>
            <charset val="1"/>
          </rPr>
          <t>Beck, Stephanie:</t>
        </r>
        <r>
          <rPr>
            <sz val="9"/>
            <color indexed="81"/>
            <rFont val="Tahoma"/>
            <charset val="1"/>
          </rPr>
          <t xml:space="preserve">
$36 sq ft year one cost with 3% annual escalator and $65 sq ft buildout allowance on a 10 year lease</t>
        </r>
      </text>
    </comment>
  </commentList>
</comments>
</file>

<file path=xl/sharedStrings.xml><?xml version="1.0" encoding="utf-8"?>
<sst xmlns="http://schemas.openxmlformats.org/spreadsheetml/2006/main" count="475" uniqueCount="182">
  <si>
    <t>Year 1</t>
  </si>
  <si>
    <t>Year 2</t>
  </si>
  <si>
    <t>Year 3</t>
  </si>
  <si>
    <t>Year 4</t>
  </si>
  <si>
    <t>Year 5</t>
  </si>
  <si>
    <t>Year 6</t>
  </si>
  <si>
    <t>Year 7</t>
  </si>
  <si>
    <t>Year 8</t>
  </si>
  <si>
    <t>Year 9</t>
  </si>
  <si>
    <t>Year 10</t>
  </si>
  <si>
    <t>Year 11</t>
  </si>
  <si>
    <t>Year 12</t>
  </si>
  <si>
    <t>Year 13</t>
  </si>
  <si>
    <t>Year 14</t>
  </si>
  <si>
    <t>Year 15</t>
  </si>
  <si>
    <t>Year 16</t>
  </si>
  <si>
    <t>Building (sqft)</t>
  </si>
  <si>
    <t>Sum of Years</t>
  </si>
  <si>
    <t>Reported Numbers</t>
  </si>
  <si>
    <t>Incremental</t>
  </si>
  <si>
    <t>2019/2020</t>
  </si>
  <si>
    <t>Investment</t>
  </si>
  <si>
    <t>Employment</t>
  </si>
  <si>
    <t>Payroll</t>
  </si>
  <si>
    <t>Cumulative</t>
  </si>
  <si>
    <t>Mega Tax Credit</t>
  </si>
  <si>
    <t>Credits from 2019 jobs</t>
  </si>
  <si>
    <t>Credits from 2020 jobs</t>
  </si>
  <si>
    <t>Credits from 2021 jobs</t>
  </si>
  <si>
    <t>Credits from 2022 jobs</t>
  </si>
  <si>
    <t>Credits from 2023 jobs</t>
  </si>
  <si>
    <t>Credits from 2024 jobs</t>
  </si>
  <si>
    <t>Credits from 2025 jobs</t>
  </si>
  <si>
    <t>Credits from 2026 jobs</t>
  </si>
  <si>
    <t>Credits from 2027 jobs</t>
  </si>
  <si>
    <t>Credits from 2028 jobs</t>
  </si>
  <si>
    <t>Credits from 2029 jobs</t>
  </si>
  <si>
    <t>Credits from 2030 jobs</t>
  </si>
  <si>
    <t>Credits from 2031 jobs</t>
  </si>
  <si>
    <t>Credits from 2032 jobs</t>
  </si>
  <si>
    <t>Credits from 2033 jobs</t>
  </si>
  <si>
    <t>Credits from 2034 jobs</t>
  </si>
  <si>
    <t>Credits from 2035 jobs</t>
  </si>
  <si>
    <t>Total Credits for Tax Year</t>
  </si>
  <si>
    <t>Discount Rate</t>
  </si>
  <si>
    <t>Net Present Value</t>
  </si>
  <si>
    <t>Local</t>
  </si>
  <si>
    <t>Mega Project Tax Credits</t>
  </si>
  <si>
    <t>Sales &amp; Use Tax Exemption  on Construction Materials</t>
  </si>
  <si>
    <t>Estimated Percentage of Investment that is Materials</t>
  </si>
  <si>
    <t>Sales Tax Rate for City of Atlanta</t>
  </si>
  <si>
    <t>Value of Exemption</t>
  </si>
  <si>
    <t>Sales Tax Exemption on Construction Materials</t>
  </si>
  <si>
    <t>State</t>
  </si>
  <si>
    <t>Total State Incentives</t>
  </si>
  <si>
    <t>Total Value</t>
  </si>
  <si>
    <t xml:space="preserve">Lease Purchase </t>
  </si>
  <si>
    <t>Amazon Workforce, Education, and Relocating Incentives</t>
  </si>
  <si>
    <t>One-Time/
Annual Benefits</t>
  </si>
  <si>
    <t>10 Year NPV</t>
  </si>
  <si>
    <t>Amazon Academy  (On-Site, Georgia Tech, Augusta, and Virtual Campuses)</t>
  </si>
  <si>
    <t>I. University System of Georgia Degree and Continuing Education Programs (Amazon Campus, Georgia Tech Campus, Virtual Campus)</t>
  </si>
  <si>
    <t>a. Design and construction of facility and equipment purchase to meet customized training needs</t>
  </si>
  <si>
    <t>b. Program Development (One-time One year Costs)</t>
  </si>
  <si>
    <t>c. Professors and operating costs for newly established Specialized Degree Tracks</t>
  </si>
  <si>
    <t>d. 20,000 sq. ft. of dedicated space located on Georgia Tech campus</t>
  </si>
  <si>
    <t>e. Design and Development of Simulations for Cloud Based Learning</t>
  </si>
  <si>
    <t>f. Dedicated Amazon Liaison to provide continuous program feedback and improvements</t>
  </si>
  <si>
    <t>g. Continuous On-Campus Recruiting</t>
  </si>
  <si>
    <t>II. Technical College System of Georgia Customized Training Programs (Amazon Campus and Other Technical College Facilities)</t>
  </si>
  <si>
    <t>a. Ongoing instructors and operations costs</t>
  </si>
  <si>
    <t>b. Equipment refreshment to meet changing technology needs</t>
  </si>
  <si>
    <t>c. Curriculum development deployed to technical college's statewide to broaden Amazon recruitment network</t>
  </si>
  <si>
    <t>III. Hull McKnight Georgia Cyber Innovation and Training Center Space (Augusta Campus)</t>
  </si>
  <si>
    <t>a. 15,000 sq. ft. of dedicated space in the Hull McKnight Georgia Cyber Innovation and Training Center</t>
  </si>
  <si>
    <t>b. Access to cyber range and various resources located at the center.</t>
  </si>
  <si>
    <t>Total Potential Incentives</t>
  </si>
  <si>
    <t>Economic Opportunity Fund</t>
  </si>
  <si>
    <t>LP-Yr 11</t>
  </si>
  <si>
    <t>LP-Yr 10</t>
  </si>
  <si>
    <t>LP-Yr 9</t>
  </si>
  <si>
    <t>LP-Yr 8</t>
  </si>
  <si>
    <t>LP-Yr 7</t>
  </si>
  <si>
    <t>LP-Yr 6</t>
  </si>
  <si>
    <t>LP-Yr 5</t>
  </si>
  <si>
    <t>LP-Yr 4</t>
  </si>
  <si>
    <t>LP-Yr 3</t>
  </si>
  <si>
    <t>LP-Yr 2</t>
  </si>
  <si>
    <t>LP-Yr 1</t>
  </si>
  <si>
    <t>TOTAL ABATEMENT</t>
  </si>
  <si>
    <t>Fulton Operating</t>
  </si>
  <si>
    <t>Fulton Bonds</t>
  </si>
  <si>
    <t>Atlanta DID</t>
  </si>
  <si>
    <t>Midtown CID</t>
  </si>
  <si>
    <t>Atlanta School</t>
  </si>
  <si>
    <t>Atlanta School Bond</t>
  </si>
  <si>
    <t>Atlanta Parks</t>
  </si>
  <si>
    <t>Atlanta General</t>
  </si>
  <si>
    <t>Atlanta Bonds</t>
  </si>
  <si>
    <t>Assesed Value Foregone</t>
  </si>
  <si>
    <t>Abated FMV</t>
  </si>
  <si>
    <t>Gross Up Assessed Value</t>
  </si>
  <si>
    <t>Jobs</t>
  </si>
  <si>
    <t>2016 Assessed Value</t>
  </si>
  <si>
    <t>2016 FMV</t>
  </si>
  <si>
    <t>Impact Fees</t>
  </si>
  <si>
    <t>Amazon Academy of Georgia</t>
  </si>
  <si>
    <t>State Grant</t>
  </si>
  <si>
    <t>Lease Purchase for Property Tax Abatement</t>
  </si>
  <si>
    <t>Local Grant</t>
  </si>
  <si>
    <t>Total Local Incentives</t>
  </si>
  <si>
    <t>10 Year Total</t>
  </si>
  <si>
    <t>Amazon HQ2 Proposed Project Details</t>
  </si>
  <si>
    <t>State Grant (REBA)</t>
  </si>
  <si>
    <t>State Grant*</t>
  </si>
  <si>
    <t>Local Grant (Economic Opportunity Fund)</t>
  </si>
  <si>
    <t>Value*</t>
  </si>
  <si>
    <t>*This distribution schedule is for example purposes only. The actual distribution schedule will be negotiated in a Grant Agreement with Invest Atlanta. All Economic Opportunity Fund Grants are subject to the approval of the Atlanta City Council and the Invest Atlanta Board of Directors.</t>
  </si>
  <si>
    <t>Estimated value</t>
  </si>
  <si>
    <r>
      <t xml:space="preserve">Total Incentives </t>
    </r>
    <r>
      <rPr>
        <sz val="12"/>
        <color theme="1"/>
        <rFont val="Calibri"/>
        <family val="2"/>
        <scheme val="minor"/>
      </rPr>
      <t>(possible to estimate at this time)</t>
    </r>
  </si>
  <si>
    <t>Lease Purchase Bond (for property tax incentive)</t>
  </si>
  <si>
    <t>*This assumes the company will move out of temporary space and into its new building(s) beginning in 2023.  This timeframe will be adjusted as the company’s construction schedule is solidified.</t>
  </si>
  <si>
    <t xml:space="preserve">City of Atlanta </t>
  </si>
  <si>
    <t>Incentives</t>
  </si>
  <si>
    <t>City of Atlanta Infrastructure Investment</t>
  </si>
  <si>
    <t>Total</t>
  </si>
  <si>
    <t>Site Specific Commitments and Investments</t>
  </si>
  <si>
    <t>Neighborhood</t>
  </si>
  <si>
    <t>Midtown</t>
  </si>
  <si>
    <t>Quarry Yards</t>
  </si>
  <si>
    <t>South Downtown</t>
  </si>
  <si>
    <t>Old Fourth Ward</t>
  </si>
  <si>
    <t>Citywide Commitments and Programs</t>
  </si>
  <si>
    <t>Economic Opportunity Fund*</t>
  </si>
  <si>
    <t>Invest Atlanta will offer an Economic Opportunity Fund (EOF) Grant to Amazon. This offer is based on the company's expected creation of 50,000 jobs and a capital investment of $5 billion. We reserve the right to adjust the dollar value of the grant if the stated job and investment targets are reduced from these figures or not achieved. The jobs created by the company must meet quality standards and grant funds must be used for the company's investment in the City and approved purposes. Funds are disbursed to the company as job creation and investment milestones are met, as negotiated in a grant agreement with Invest Atlanta.</t>
  </si>
  <si>
    <t xml:space="preserve">Impact Fees </t>
  </si>
  <si>
    <t>Impact Fees*</t>
  </si>
  <si>
    <t>1. Lease Purchase benefit was calculated on a Phase I investment of $1.2 billion and the benefit is over a 10 year period. This value could be less if company invests less or chooses a building that is under an existing lease purchase structure. A more accurate estimate can be provided once the actual building and investment is known.</t>
  </si>
  <si>
    <t>*All bond and tax credit programs, grants and programatic actions require approval from either the Atlanta City Council, the Invest Atlanta Board of Directors, the Atlanta Board of Education, the HJIA Airport Authority, the MARTA board and/or affiliated entities.</t>
  </si>
  <si>
    <t>Site Specific Infrastructure Investment</t>
  </si>
  <si>
    <t>Parks &amp; Rec Investments</t>
  </si>
  <si>
    <t>Watershed Investments</t>
  </si>
  <si>
    <t>Public Works</t>
  </si>
  <si>
    <t>Total Capital Infrastructure</t>
  </si>
  <si>
    <t>1. City's commitment to improve the public space around your location, improving the accesibility to your employees and business environment that you wish to create.</t>
  </si>
  <si>
    <t xml:space="preserve">2. In 2016, City of Atlanta voters approved a special purpose local option sales tax for transportation – a T-SPLOST – for four-tenths of a penny or an additional 4 cents on a $10 purchase. This T-SPLOST will generate approximately $300 million over a five-year period to fund significant and expansive transportation projects citywide. These T-SPLOST investments are within 0.3 miles of these sites. </t>
  </si>
  <si>
    <t xml:space="preserve">Majestic Carter Mixed Use. LLC (“Majestic Carter”)  is developing a world class hotel and conference center seamlessly connected to the Hartsfield Jackson Atlanta International Airport Domestic Terminal (“Project”).  This Project includes a luxury hotel with more than 500 guest rooms, approximately 40,000 square feet of meeting and conference space, dining amenities, and 50,000 square feet of Class “A” office space.  The site also provides a “one-of-one” marketing and branding opportunity for corporate sponsors at the front door to Atlanta.  Marketing and branding promotional platform includes large and small format digital media, static displays, and event spaces with projected daily impressions exceeding 750,000 views per day.                                                                                                                                                                                                                                                                             Majestic Carter is prepared to lease an agreed upon amount of Class “A” office space to Amazon at a Return on Cost of 8.5% to 9.25% based upon the nature of the improvements.  The square footage of the real property improvements will be mutually agreed by Majestic and Amazon and the total costs will be arrived utilizing an open book method.  Majestic Carter is  also prepared to offer development of  additional facilities on the Project site as well as an additional site immediately West of the hotel with approximately 13.5  acres of land suitable for office, mixed use, or hospitality.  Majestic Carter is also pleased to offer unparalleled marketing and branding opportunities at competitive market rates. </t>
  </si>
  <si>
    <t>Equity Capital Partner</t>
  </si>
  <si>
    <t>In the event Amazon selects a site in the City of Atlanta upon which a new building is to be developed and leased to Amazon in order to satisfy the Project's Phase I HQ2 requirements as described in this RFP, an Atlanta-based commercial real estate investment company, which specializes in providing equity capital for the development or acquisition of office properties in the southeastern United States, has committed (subject only to the execution by the appropriate parties of a mutually acceptable space lease) to invest the required equity capital and procure from a third party lender the required debt for the timely development of Phase I of HQ2. This commitment essentially eliminates any risk to Amazon that the capital (equity and debt) required to develop a new office building, which will serve as Phase I of HQ2, cannot be procured in time to meet the Phase I schedule described in this RFP.</t>
  </si>
  <si>
    <t>Homebuyer Employee Incentives</t>
  </si>
  <si>
    <t>Through its home ownership program, Invest Atlanta will provide financial asssitance to qualifying employees interested in becoming homeowners in the City of Atlanta. Invest Atlanta's housing team will provide in-house seminars to ensure that employees are aware of special incentives and programs. This incentive is based on 150 employees receiving the benefit.</t>
  </si>
  <si>
    <t>The CDC Foundation will support knowledge transfer, access to researchers and a global health initiative in conjunction with CDC.</t>
  </si>
  <si>
    <t>Estimated Line of Credit: $7,000,000</t>
  </si>
  <si>
    <t>Net Bond Proceeds Benefit</t>
  </si>
  <si>
    <t>Big Ideas Around Incentives*</t>
  </si>
  <si>
    <t>To be determined</t>
  </si>
  <si>
    <t>Estimated total value to 150 employees: $1,500,000</t>
  </si>
  <si>
    <t>$7,000,000 to a non-profit of Amazon's choice</t>
  </si>
  <si>
    <t>MARTA Dedicated Car</t>
  </si>
  <si>
    <t>Street Renaming Opportunity</t>
  </si>
  <si>
    <t>Center for Control Disease (CDC)</t>
  </si>
  <si>
    <t>Social Impact Funding</t>
  </si>
  <si>
    <t>If Downtown South is selected as the location, CIM commits to allocating $8 million in economic benefit from the Westside Tax Allocation District in net bond proceeds to the company. The benefit will be realized in a way that is agreed upon by both the company and CIM.</t>
  </si>
  <si>
    <t>Pre/Post Flight Airport Lounge @ Hartsfield Jackson Atlanta International Airport</t>
  </si>
  <si>
    <t xml:space="preserve">Hartsfield Jackson Atlanta International Airport (HJAIA) will designate an area within the terminal concourse to establish a premiere pre/post flight lounge for a year. The lounge is for the exclusive use of company employees with work stations, small conference room, information board/monitors and light refreshments. In addition, the company will have access to fifty (50) parking spaces at no cost for a year. </t>
  </si>
  <si>
    <t>Amazon Experience Center @ Hartsfield Jackson Atlanta International Airport</t>
  </si>
  <si>
    <t xml:space="preserve">MARTA would commit  to exploring the possibility of adding an Amazon-dedicated car to the MARTA train which can be used to distribute products throughout the city. Agreement would be subject to approval of the MARTA board.  Based on location, MARTA will commit to working with the City of Atlanta on the MARTA 0.5 cent sales tax investments to the MARTA station that can enhance the connectability of employees accessing the site. </t>
  </si>
  <si>
    <t xml:space="preserve">The Atlanta Emerging Markets Inc. (AEMI) will offer $7 million of Federal New Markets Tax Credit Allocation to support the non-profit organization of Amazon HQ2's choice. </t>
  </si>
  <si>
    <t>*Please note that all bond and tax credit programs, grants and programmatic actions require approval from either the Atlanta City Council, the Invest Atlanta Board of Directors, the Atlanta Board of Education, the HJAIA Airport Authority, the MARTA board and/or affiliated entities. There are also incentives listed above from organizations that have expressed interest in establishing a partnership with Amazon HQ2.</t>
  </si>
  <si>
    <t>Big Ideas Around Incentives</t>
  </si>
  <si>
    <t>Sales &amp; Use Tax Exemption on Construction Materials</t>
  </si>
  <si>
    <t>Total Incentives</t>
  </si>
  <si>
    <t>Millage Rates</t>
  </si>
  <si>
    <t>*The value will be disbersed to Amazon HQ2, via the local development authority (likely Invest Atlanta), as the company provides evidence of eligible expenses.</t>
  </si>
  <si>
    <r>
      <t xml:space="preserve">TSPLOST Investments </t>
    </r>
    <r>
      <rPr>
        <b/>
        <vertAlign val="superscript"/>
        <sz val="11"/>
        <color theme="1"/>
        <rFont val="Calibri"/>
        <family val="2"/>
        <scheme val="minor"/>
      </rPr>
      <t>2</t>
    </r>
  </si>
  <si>
    <r>
      <t xml:space="preserve">City Public Infrastructure Investments </t>
    </r>
    <r>
      <rPr>
        <b/>
        <vertAlign val="superscript"/>
        <sz val="8"/>
        <color theme="1"/>
        <rFont val="Calibri"/>
        <family val="2"/>
        <scheme val="minor"/>
      </rPr>
      <t>1</t>
    </r>
  </si>
  <si>
    <r>
      <t xml:space="preserve">The Atlanta BeltLine Inc. </t>
    </r>
    <r>
      <rPr>
        <b/>
        <vertAlign val="superscript"/>
        <sz val="8"/>
        <color theme="1"/>
        <rFont val="Calibri"/>
        <family val="2"/>
        <scheme val="minor"/>
      </rPr>
      <t>3</t>
    </r>
  </si>
  <si>
    <t>3. The Atlanta BeltLine, Inc. is prepared to be collaborative in responding to the project’s place-making requirements in the proposed ways (all subject to negotiation)</t>
  </si>
  <si>
    <t>Total Big Ideas Around Incentives</t>
  </si>
  <si>
    <t>Opportunity for street renaming around HQ2 campus: Amazon Lane, Alexa Way, Prime Place, Kindle Rd., etc.</t>
  </si>
  <si>
    <t>The COA will recommend to City Council a waiver of 50%  of impact fees owed for Amazon for new construction over 5 million square feet. The following value is based on 8 million square feet. The COA will recommend to City Council to offset the non-waived balance of impact fees owed by Amazon for any qualifying system improvements made by Amazon within the City dedicated to the public, such as roads, public safety improvements, parks, etc. on a dollar to dollar basis, including impact fee credits above such basis.</t>
  </si>
  <si>
    <r>
      <t>Lease Purchase</t>
    </r>
    <r>
      <rPr>
        <b/>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</si>
</sst>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_(* #,##0_);_(* \(#,##0\);_(* &quot;-&quot;??_);_(@_)"/>
    <numFmt numFmtId="165" formatCode="&quot;$&quot;#,##0"/>
    <numFmt numFmtId="167" formatCode="0.0%"/>
    <numFmt numFmtId="168" formatCode="_(&quot;$&quot;* #,##0_);_(&quot;$&quot;* \(#,##0\);_(&quot;$&quot;* &quot;-&quot;??_);_(@_)"/>
    <numFmt numFmtId="169" formatCode="_(&quot;$&quot;* #,##0.0_);_(&quot;$&quot;* \(#,##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1"/>
      <color theme="1"/>
      <name val="Calibri"/>
      <family val="2"/>
      <scheme val="minor"/>
    </font>
    <font>
      <sz val="10.5"/>
      <color rgb="FF000000"/>
      <name val="Calibri"/>
      <family val="2"/>
      <scheme val="minor"/>
    </font>
    <font>
      <b/>
      <sz val="9"/>
      <color indexed="81"/>
      <name val="Tahoma"/>
      <charset val="1"/>
    </font>
    <font>
      <sz val="9"/>
      <color indexed="81"/>
      <name val="Tahoma"/>
      <charset val="1"/>
    </font>
    <font>
      <b/>
      <sz val="12"/>
      <color theme="1"/>
      <name val="Calibri"/>
      <family val="2"/>
      <scheme val="minor"/>
    </font>
    <font>
      <sz val="12"/>
      <color theme="1"/>
      <name val="Calibri"/>
      <family val="2"/>
      <scheme val="minor"/>
    </font>
    <font>
      <b/>
      <sz val="14"/>
      <color theme="1"/>
      <name val="Calibri"/>
      <family val="2"/>
      <scheme val="minor"/>
    </font>
    <font>
      <b/>
      <vertAlign val="superscript"/>
      <sz val="11"/>
      <color theme="1"/>
      <name val="Calibri"/>
      <family val="2"/>
      <scheme val="minor"/>
    </font>
    <font>
      <b/>
      <vertAlign val="superscript"/>
      <sz val="8"/>
      <color theme="1"/>
      <name val="Calibri"/>
      <family val="2"/>
      <scheme val="minor"/>
    </font>
  </fonts>
  <fills count="16">
    <fill>
      <patternFill patternType="none"/>
    </fill>
    <fill>
      <patternFill patternType="gray125"/>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rgb="FFFFC000"/>
        <bgColor indexed="64"/>
      </patternFill>
    </fill>
    <fill>
      <patternFill patternType="solid">
        <fgColor rgb="FFDDDDDD"/>
        <bgColor indexed="64"/>
      </patternFill>
    </fill>
    <fill>
      <patternFill patternType="solid">
        <fgColor theme="4" tint="0.79998168889431442"/>
        <bgColor indexed="64"/>
      </patternFill>
    </fill>
    <fill>
      <patternFill patternType="solid">
        <fgColor rgb="FFFFFFE5"/>
        <bgColor indexed="64"/>
      </patternFill>
    </fill>
    <fill>
      <patternFill patternType="solid">
        <fgColor rgb="FFFFE7E7"/>
        <bgColor indexed="64"/>
      </patternFill>
    </fill>
    <fill>
      <patternFill patternType="solid">
        <fgColor rgb="FFEFFFEF"/>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7"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206">
    <xf numFmtId="0" fontId="0" fillId="0" borderId="0" xfId="0"/>
    <xf numFmtId="164" fontId="0" fillId="0" borderId="0" xfId="1" applyNumberFormat="1" applyFont="1"/>
    <xf numFmtId="0" fontId="0" fillId="0" borderId="0" xfId="0" applyAlignment="1">
      <alignment horizontal="center" vertical="center"/>
    </xf>
    <xf numFmtId="164" fontId="0" fillId="0" borderId="0" xfId="1" applyNumberFormat="1" applyFont="1" applyAlignment="1">
      <alignment horizontal="center" vertical="center"/>
    </xf>
    <xf numFmtId="164" fontId="0" fillId="0" borderId="0" xfId="1" applyNumberFormat="1" applyFont="1" applyAlignment="1">
      <alignment horizontal="center" vertical="center" wrapText="1"/>
    </xf>
    <xf numFmtId="1" fontId="0" fillId="0" borderId="0" xfId="1" applyNumberFormat="1" applyFont="1"/>
    <xf numFmtId="1" fontId="0" fillId="0" borderId="0" xfId="1" quotePrefix="1" applyNumberFormat="1" applyFont="1"/>
    <xf numFmtId="165" fontId="0" fillId="0" borderId="0" xfId="1" applyNumberFormat="1" applyFont="1"/>
    <xf numFmtId="164" fontId="2" fillId="0" borderId="0" xfId="1" applyNumberFormat="1" applyFont="1"/>
    <xf numFmtId="44" fontId="0" fillId="0" borderId="0" xfId="2" applyFont="1"/>
    <xf numFmtId="165" fontId="0" fillId="0" borderId="0" xfId="0" applyNumberFormat="1"/>
    <xf numFmtId="165" fontId="0" fillId="0" borderId="0" xfId="2" applyNumberFormat="1" applyFont="1"/>
    <xf numFmtId="8" fontId="0" fillId="0" borderId="0" xfId="0" applyNumberFormat="1"/>
    <xf numFmtId="0" fontId="4" fillId="0" borderId="0" xfId="0" applyFont="1"/>
    <xf numFmtId="167" fontId="0" fillId="0" borderId="0" xfId="3" applyNumberFormat="1"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1" xfId="0" applyBorder="1" applyAlignment="1">
      <alignment vertical="center" wrapText="1"/>
    </xf>
    <xf numFmtId="165" fontId="0" fillId="0" borderId="1" xfId="0" applyNumberFormat="1" applyBorder="1" applyAlignment="1">
      <alignment horizontal="center" vertical="center" wrapText="1"/>
    </xf>
    <xf numFmtId="165" fontId="0" fillId="0" borderId="1" xfId="0" applyNumberFormat="1" applyBorder="1"/>
    <xf numFmtId="165" fontId="0" fillId="0" borderId="1" xfId="0" applyNumberFormat="1" applyBorder="1" applyAlignment="1">
      <alignment vertical="center"/>
    </xf>
    <xf numFmtId="0" fontId="0" fillId="0" borderId="0" xfId="0" applyBorder="1"/>
    <xf numFmtId="0" fontId="2" fillId="0" borderId="0" xfId="0" applyFont="1" applyAlignment="1">
      <alignment horizontal="center" vertical="center" wrapText="1"/>
    </xf>
    <xf numFmtId="0" fontId="2" fillId="0" borderId="0" xfId="0" applyFont="1" applyAlignment="1">
      <alignment vertical="top"/>
    </xf>
    <xf numFmtId="0" fontId="2" fillId="0" borderId="0" xfId="0" applyFont="1" applyAlignment="1">
      <alignment vertical="top" wrapText="1"/>
    </xf>
    <xf numFmtId="0" fontId="0" fillId="0" borderId="0" xfId="0" quotePrefix="1" applyAlignment="1">
      <alignment vertical="top"/>
    </xf>
    <xf numFmtId="0" fontId="0" fillId="0" borderId="0" xfId="0" applyAlignment="1">
      <alignment horizontal="left" vertical="top" wrapText="1" indent="2"/>
    </xf>
    <xf numFmtId="0" fontId="0" fillId="0" borderId="0" xfId="0" applyAlignment="1">
      <alignment vertical="top"/>
    </xf>
    <xf numFmtId="0" fontId="5" fillId="0" borderId="0" xfId="0" quotePrefix="1" applyFont="1" applyAlignment="1">
      <alignment vertical="top"/>
    </xf>
    <xf numFmtId="0" fontId="0" fillId="0" borderId="0" xfId="0" applyAlignment="1">
      <alignment vertical="top" wrapText="1"/>
    </xf>
    <xf numFmtId="0" fontId="2" fillId="0" borderId="0" xfId="0" quotePrefix="1" applyFont="1" applyAlignment="1">
      <alignment vertical="top"/>
    </xf>
    <xf numFmtId="0" fontId="2" fillId="0" borderId="0" xfId="0" applyFont="1"/>
    <xf numFmtId="0" fontId="2" fillId="0" borderId="0" xfId="0" applyFont="1" applyAlignment="1">
      <alignment horizontal="right" wrapText="1"/>
    </xf>
    <xf numFmtId="0" fontId="0" fillId="0" borderId="0" xfId="0" applyAlignment="1">
      <alignment wrapText="1"/>
    </xf>
    <xf numFmtId="169" fontId="0" fillId="0" borderId="0" xfId="0" applyNumberFormat="1"/>
    <xf numFmtId="0" fontId="0" fillId="0" borderId="1" xfId="0" applyBorder="1" applyAlignment="1">
      <alignment wrapText="1"/>
    </xf>
    <xf numFmtId="0" fontId="2" fillId="0" borderId="1" xfId="0" applyFont="1" applyBorder="1" applyAlignment="1">
      <alignment vertical="center" wrapText="1"/>
    </xf>
    <xf numFmtId="0" fontId="8" fillId="0" borderId="1" xfId="0" applyFont="1" applyBorder="1" applyAlignment="1">
      <alignment vertical="center" wrapText="1"/>
    </xf>
    <xf numFmtId="165" fontId="8" fillId="0" borderId="1" xfId="0" applyNumberFormat="1" applyFont="1" applyBorder="1" applyAlignment="1">
      <alignment vertical="center"/>
    </xf>
    <xf numFmtId="165" fontId="2" fillId="0" borderId="1" xfId="0" applyNumberFormat="1" applyFont="1" applyBorder="1"/>
    <xf numFmtId="0" fontId="8" fillId="0" borderId="0" xfId="0" applyFont="1"/>
    <xf numFmtId="0" fontId="8" fillId="0" borderId="0" xfId="0" applyFont="1" applyAlignment="1">
      <alignment horizontal="center" vertical="center" wrapText="1"/>
    </xf>
    <xf numFmtId="164" fontId="8" fillId="0" borderId="0" xfId="1" applyNumberFormat="1" applyFont="1"/>
    <xf numFmtId="164" fontId="8" fillId="0" borderId="0" xfId="1" applyNumberFormat="1" applyFont="1" applyAlignment="1">
      <alignment vertical="center" wrapText="1"/>
    </xf>
    <xf numFmtId="0" fontId="0" fillId="4" borderId="0" xfId="0" applyFill="1"/>
    <xf numFmtId="1" fontId="0" fillId="4" borderId="0" xfId="1" applyNumberFormat="1" applyFont="1" applyFill="1"/>
    <xf numFmtId="0" fontId="2" fillId="0" borderId="0" xfId="0" applyFont="1" applyBorder="1"/>
    <xf numFmtId="165" fontId="2" fillId="0" borderId="0" xfId="0" applyNumberFormat="1" applyFont="1" applyAlignment="1">
      <alignment horizontal="center" vertical="center" wrapText="1"/>
    </xf>
    <xf numFmtId="0" fontId="8" fillId="0" borderId="0" xfId="0" applyFont="1" applyAlignment="1">
      <alignment vertical="center" wrapText="1"/>
    </xf>
    <xf numFmtId="0" fontId="2" fillId="0" borderId="0" xfId="0" applyFont="1" applyAlignment="1">
      <alignment horizontal="center"/>
    </xf>
    <xf numFmtId="164" fontId="4" fillId="0" borderId="0" xfId="1" applyNumberFormat="1" applyFont="1"/>
    <xf numFmtId="0" fontId="9" fillId="0" borderId="0" xfId="0" applyFont="1" applyAlignment="1"/>
    <xf numFmtId="0" fontId="0" fillId="0" borderId="0" xfId="0" applyAlignment="1"/>
    <xf numFmtId="0" fontId="2" fillId="0" borderId="7" xfId="0" applyFont="1" applyBorder="1"/>
    <xf numFmtId="168" fontId="0" fillId="0" borderId="8" xfId="2" applyNumberFormat="1" applyFont="1" applyBorder="1"/>
    <xf numFmtId="0" fontId="9" fillId="0" borderId="0" xfId="0" applyFont="1"/>
    <xf numFmtId="0" fontId="2" fillId="0" borderId="9" xfId="0" applyFont="1" applyBorder="1"/>
    <xf numFmtId="168" fontId="0" fillId="0" borderId="10" xfId="2" applyNumberFormat="1" applyFont="1" applyBorder="1"/>
    <xf numFmtId="0" fontId="2" fillId="0" borderId="11" xfId="0" applyFont="1" applyBorder="1"/>
    <xf numFmtId="168" fontId="0" fillId="0" borderId="12" xfId="2" applyNumberFormat="1" applyFont="1" applyBorder="1"/>
    <xf numFmtId="0" fontId="8" fillId="5" borderId="6" xfId="0" applyFont="1" applyFill="1" applyBorder="1"/>
    <xf numFmtId="168" fontId="8" fillId="5" borderId="4" xfId="0" applyNumberFormat="1" applyFont="1" applyFill="1" applyBorder="1"/>
    <xf numFmtId="0" fontId="0" fillId="0" borderId="0" xfId="0" applyFill="1" applyBorder="1"/>
    <xf numFmtId="0" fontId="10" fillId="0" borderId="0" xfId="0" applyFont="1" applyAlignment="1"/>
    <xf numFmtId="0" fontId="10" fillId="0" borderId="0" xfId="0" applyFont="1" applyFill="1" applyBorder="1" applyAlignment="1"/>
    <xf numFmtId="0" fontId="8" fillId="0" borderId="0" xfId="0" applyFont="1" applyFill="1" applyBorder="1" applyAlignment="1"/>
    <xf numFmtId="0" fontId="8" fillId="7" borderId="9" xfId="0" applyFont="1" applyFill="1" applyBorder="1" applyAlignment="1">
      <alignment vertical="center"/>
    </xf>
    <xf numFmtId="168" fontId="0" fillId="7" borderId="1" xfId="2" applyNumberFormat="1" applyFont="1" applyFill="1" applyBorder="1" applyAlignment="1">
      <alignment vertical="center"/>
    </xf>
    <xf numFmtId="168" fontId="0" fillId="7" borderId="10" xfId="2" applyNumberFormat="1" applyFont="1" applyFill="1" applyBorder="1" applyAlignment="1">
      <alignment vertical="center"/>
    </xf>
    <xf numFmtId="0" fontId="8" fillId="8" borderId="9" xfId="0" applyFont="1" applyFill="1" applyBorder="1"/>
    <xf numFmtId="168" fontId="0" fillId="8" borderId="1" xfId="2" applyNumberFormat="1" applyFont="1" applyFill="1" applyBorder="1" applyAlignment="1">
      <alignment horizontal="right" vertical="center"/>
    </xf>
    <xf numFmtId="168" fontId="0" fillId="8" borderId="10" xfId="2" applyNumberFormat="1" applyFont="1" applyFill="1" applyBorder="1" applyAlignment="1">
      <alignment horizontal="right"/>
    </xf>
    <xf numFmtId="168" fontId="0" fillId="0" borderId="0" xfId="2" applyNumberFormat="1" applyFont="1" applyFill="1" applyBorder="1" applyAlignment="1">
      <alignment horizontal="right"/>
    </xf>
    <xf numFmtId="0" fontId="8" fillId="9" borderId="9" xfId="0" applyFont="1" applyFill="1" applyBorder="1" applyAlignment="1">
      <alignment vertical="center"/>
    </xf>
    <xf numFmtId="168" fontId="0" fillId="9" borderId="14" xfId="2" applyNumberFormat="1" applyFont="1" applyFill="1" applyBorder="1" applyAlignment="1">
      <alignment vertical="center"/>
    </xf>
    <xf numFmtId="168" fontId="0" fillId="9" borderId="15" xfId="2" applyNumberFormat="1" applyFont="1" applyFill="1" applyBorder="1" applyAlignment="1">
      <alignment vertical="center"/>
    </xf>
    <xf numFmtId="168" fontId="0" fillId="0" borderId="0" xfId="2" applyNumberFormat="1" applyFont="1" applyFill="1" applyBorder="1" applyAlignment="1">
      <alignment horizontal="center" vertical="center"/>
    </xf>
    <xf numFmtId="0" fontId="8" fillId="10" borderId="11" xfId="0" applyFont="1" applyFill="1" applyBorder="1" applyAlignment="1">
      <alignment vertical="center"/>
    </xf>
    <xf numFmtId="168" fontId="0" fillId="10" borderId="16" xfId="2" applyNumberFormat="1" applyFont="1" applyFill="1" applyBorder="1" applyAlignment="1">
      <alignment vertical="center"/>
    </xf>
    <xf numFmtId="168" fontId="0" fillId="10" borderId="12" xfId="2" applyNumberFormat="1" applyFont="1" applyFill="1" applyBorder="1" applyAlignment="1">
      <alignment horizontal="right"/>
    </xf>
    <xf numFmtId="168" fontId="0" fillId="0" borderId="0" xfId="2" applyNumberFormat="1" applyFont="1" applyFill="1" applyBorder="1" applyAlignment="1"/>
    <xf numFmtId="0" fontId="8" fillId="6" borderId="19" xfId="0" applyFont="1" applyFill="1" applyBorder="1" applyAlignment="1"/>
    <xf numFmtId="0" fontId="8" fillId="11" borderId="6" xfId="0" applyFont="1" applyFill="1" applyBorder="1" applyAlignment="1">
      <alignment horizontal="left" vertical="center"/>
    </xf>
    <xf numFmtId="168" fontId="0" fillId="11" borderId="4" xfId="2" applyNumberFormat="1" applyFont="1" applyFill="1" applyBorder="1" applyAlignment="1">
      <alignment horizontal="right"/>
    </xf>
    <xf numFmtId="168" fontId="2" fillId="0" borderId="0" xfId="0" applyNumberFormat="1" applyFont="1" applyFill="1" applyBorder="1" applyAlignment="1">
      <alignment horizontal="right"/>
    </xf>
    <xf numFmtId="0" fontId="2" fillId="6" borderId="6" xfId="0" applyFont="1" applyFill="1" applyBorder="1"/>
    <xf numFmtId="0" fontId="2" fillId="6" borderId="5" xfId="0" applyFont="1" applyFill="1" applyBorder="1"/>
    <xf numFmtId="0" fontId="2" fillId="6" borderId="21" xfId="0" applyFont="1" applyFill="1" applyBorder="1"/>
    <xf numFmtId="0" fontId="2" fillId="6" borderId="19" xfId="0" applyFont="1" applyFill="1" applyBorder="1"/>
    <xf numFmtId="0" fontId="8" fillId="7" borderId="26" xfId="0" applyFont="1" applyFill="1" applyBorder="1" applyAlignment="1">
      <alignment vertical="center"/>
    </xf>
    <xf numFmtId="168" fontId="0" fillId="7" borderId="23" xfId="2" applyNumberFormat="1" applyFont="1" applyFill="1" applyBorder="1" applyAlignment="1">
      <alignment vertical="center"/>
    </xf>
    <xf numFmtId="0" fontId="8" fillId="8" borderId="6" xfId="0" applyFont="1" applyFill="1" applyBorder="1"/>
    <xf numFmtId="168" fontId="0" fillId="8" borderId="4" xfId="2" applyNumberFormat="1" applyFont="1" applyFill="1" applyBorder="1" applyAlignment="1">
      <alignment horizontal="right"/>
    </xf>
    <xf numFmtId="0" fontId="8" fillId="9" borderId="6" xfId="0" applyFont="1" applyFill="1" applyBorder="1" applyAlignment="1">
      <alignment vertical="center"/>
    </xf>
    <xf numFmtId="168" fontId="0" fillId="9" borderId="4" xfId="2" applyNumberFormat="1" applyFont="1" applyFill="1" applyBorder="1" applyAlignment="1">
      <alignment horizontal="right" vertical="center"/>
    </xf>
    <xf numFmtId="0" fontId="8" fillId="10" borderId="28" xfId="0" applyFont="1" applyFill="1" applyBorder="1" applyAlignment="1">
      <alignment vertical="center"/>
    </xf>
    <xf numFmtId="168" fontId="0" fillId="10" borderId="30" xfId="2" applyNumberFormat="1" applyFont="1" applyFill="1" applyBorder="1" applyAlignment="1">
      <alignment horizontal="right" vertical="center"/>
    </xf>
    <xf numFmtId="0" fontId="8" fillId="11" borderId="9" xfId="0" applyFont="1" applyFill="1" applyBorder="1" applyAlignment="1">
      <alignment horizontal="left" vertical="center"/>
    </xf>
    <xf numFmtId="0" fontId="8" fillId="0" borderId="24" xfId="0" applyFont="1" applyFill="1" applyBorder="1" applyAlignment="1">
      <alignment horizontal="left" vertical="center"/>
    </xf>
    <xf numFmtId="0" fontId="8" fillId="11" borderId="7" xfId="0" applyFont="1" applyFill="1" applyBorder="1" applyAlignment="1">
      <alignment horizontal="left" vertical="center"/>
    </xf>
    <xf numFmtId="0" fontId="8" fillId="0" borderId="24" xfId="0" applyFont="1" applyFill="1" applyBorder="1" applyAlignment="1">
      <alignment horizontal="left" vertical="center" wrapText="1" shrinkToFit="1"/>
    </xf>
    <xf numFmtId="0" fontId="0" fillId="0" borderId="0" xfId="0" applyAlignment="1">
      <alignment horizontal="left"/>
    </xf>
    <xf numFmtId="0" fontId="2" fillId="4" borderId="0" xfId="0" applyFont="1" applyFill="1" applyBorder="1" applyAlignment="1">
      <alignment horizontal="right"/>
    </xf>
    <xf numFmtId="168" fontId="0" fillId="0" borderId="15" xfId="2" applyNumberFormat="1" applyFont="1" applyFill="1" applyBorder="1" applyAlignment="1">
      <alignment horizontal="right" vertical="center"/>
    </xf>
    <xf numFmtId="0" fontId="0" fillId="0" borderId="0" xfId="0" applyAlignment="1">
      <alignment horizontal="right" vertical="center"/>
    </xf>
    <xf numFmtId="168" fontId="2" fillId="5" borderId="30" xfId="0" applyNumberFormat="1" applyFont="1" applyFill="1" applyBorder="1" applyAlignment="1">
      <alignment horizontal="right" vertical="center"/>
    </xf>
    <xf numFmtId="168" fontId="2" fillId="4" borderId="0" xfId="0" applyNumberFormat="1" applyFont="1" applyFill="1" applyBorder="1" applyAlignment="1">
      <alignment horizontal="right" vertical="center"/>
    </xf>
    <xf numFmtId="168" fontId="0" fillId="4" borderId="10" xfId="2" applyNumberFormat="1" applyFont="1" applyFill="1" applyBorder="1" applyAlignment="1">
      <alignment horizontal="right" vertical="center"/>
    </xf>
    <xf numFmtId="168" fontId="0" fillId="11" borderId="10" xfId="2" applyNumberFormat="1" applyFont="1" applyFill="1" applyBorder="1" applyAlignment="1">
      <alignment horizontal="center" vertical="center" wrapText="1"/>
    </xf>
    <xf numFmtId="0" fontId="8" fillId="4" borderId="9"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8" fillId="11" borderId="9" xfId="0" applyFont="1" applyFill="1" applyBorder="1" applyAlignment="1">
      <alignment horizontal="left" vertical="center" shrinkToFit="1"/>
    </xf>
    <xf numFmtId="1" fontId="2" fillId="0" borderId="0" xfId="1" quotePrefix="1" applyNumberFormat="1" applyFont="1" applyAlignment="1">
      <alignment horizontal="center"/>
    </xf>
    <xf numFmtId="1" fontId="2" fillId="0" borderId="0" xfId="1" applyNumberFormat="1" applyFont="1" applyAlignment="1">
      <alignment horizontal="center"/>
    </xf>
    <xf numFmtId="164" fontId="2" fillId="0" borderId="0" xfId="1" applyNumberFormat="1" applyFont="1" applyAlignment="1">
      <alignment horizontal="center"/>
    </xf>
    <xf numFmtId="9" fontId="8" fillId="0" borderId="0" xfId="3" applyFont="1" applyAlignment="1">
      <alignment horizontal="center"/>
    </xf>
    <xf numFmtId="168" fontId="0" fillId="0" borderId="0" xfId="2" applyNumberFormat="1" applyFont="1"/>
    <xf numFmtId="9" fontId="8" fillId="0" borderId="0" xfId="3" applyFont="1" applyAlignment="1">
      <alignment horizontal="center" vertical="center"/>
    </xf>
    <xf numFmtId="168" fontId="8" fillId="0" borderId="0" xfId="2" applyNumberFormat="1" applyFont="1" applyAlignment="1">
      <alignment vertical="center"/>
    </xf>
    <xf numFmtId="168" fontId="2" fillId="0" borderId="0" xfId="2" applyNumberFormat="1" applyFont="1" applyAlignment="1">
      <alignment horizontal="center" vertical="center" wrapText="1"/>
    </xf>
    <xf numFmtId="168" fontId="2" fillId="0" borderId="0" xfId="2" applyNumberFormat="1" applyFont="1" applyAlignment="1">
      <alignment vertical="top"/>
    </xf>
    <xf numFmtId="168" fontId="0" fillId="0" borderId="0" xfId="2" applyNumberFormat="1" applyFont="1" applyAlignment="1">
      <alignment vertical="top"/>
    </xf>
    <xf numFmtId="168" fontId="2" fillId="0" borderId="0" xfId="2" applyNumberFormat="1" applyFont="1"/>
    <xf numFmtId="164" fontId="4" fillId="0" borderId="0" xfId="1" applyNumberFormat="1" applyFont="1" applyFill="1" applyAlignment="1">
      <alignment vertical="center" wrapText="1"/>
    </xf>
    <xf numFmtId="167" fontId="0" fillId="0" borderId="0" xfId="3" applyNumberFormat="1" applyFont="1" applyFill="1" applyAlignment="1">
      <alignment vertical="center" wrapText="1"/>
    </xf>
    <xf numFmtId="164" fontId="0" fillId="0" borderId="0" xfId="1" applyNumberFormat="1" applyFont="1" applyFill="1"/>
    <xf numFmtId="0" fontId="0" fillId="0" borderId="0" xfId="0" applyFill="1"/>
    <xf numFmtId="1" fontId="0" fillId="0" borderId="0" xfId="1" applyNumberFormat="1" applyFont="1" applyFill="1"/>
    <xf numFmtId="0" fontId="2" fillId="0" borderId="0" xfId="0" applyFont="1" applyAlignment="1">
      <alignment horizontal="left"/>
    </xf>
    <xf numFmtId="49" fontId="4" fillId="0" borderId="0" xfId="0" applyNumberFormat="1" applyFont="1" applyAlignment="1">
      <alignment horizontal="left" wrapText="1"/>
    </xf>
    <xf numFmtId="0" fontId="8" fillId="0" borderId="0" xfId="0" applyFont="1" applyAlignment="1">
      <alignment horizontal="left" wrapText="1"/>
    </xf>
    <xf numFmtId="168" fontId="8" fillId="0" borderId="0" xfId="2" applyNumberFormat="1" applyFont="1"/>
    <xf numFmtId="44" fontId="0" fillId="0" borderId="0" xfId="2" applyFont="1" applyFill="1"/>
    <xf numFmtId="164" fontId="8" fillId="0" borderId="0" xfId="1" applyNumberFormat="1" applyFont="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0" fillId="2" borderId="1" xfId="0" applyFill="1" applyBorder="1" applyAlignment="1">
      <alignment horizontal="center"/>
    </xf>
    <xf numFmtId="9" fontId="2" fillId="0" borderId="0" xfId="3" applyFont="1" applyAlignment="1">
      <alignment horizontal="center"/>
    </xf>
    <xf numFmtId="0" fontId="8" fillId="0" borderId="17" xfId="0" applyFont="1" applyFill="1" applyBorder="1" applyAlignment="1">
      <alignment horizontal="left" vertical="center" wrapText="1" shrinkToFit="1"/>
    </xf>
    <xf numFmtId="168" fontId="0" fillId="0" borderId="19" xfId="2" applyNumberFormat="1" applyFont="1" applyFill="1" applyBorder="1" applyAlignment="1">
      <alignment horizontal="right"/>
    </xf>
    <xf numFmtId="168" fontId="2" fillId="12" borderId="22" xfId="2" applyNumberFormat="1" applyFont="1" applyFill="1" applyBorder="1" applyAlignment="1">
      <alignment horizontal="right"/>
    </xf>
    <xf numFmtId="168" fontId="2" fillId="5" borderId="22" xfId="2" applyNumberFormat="1" applyFont="1" applyFill="1" applyBorder="1"/>
    <xf numFmtId="168" fontId="0" fillId="7" borderId="27" xfId="2" applyNumberFormat="1" applyFont="1" applyFill="1" applyBorder="1" applyAlignment="1">
      <alignment horizontal="right"/>
    </xf>
    <xf numFmtId="168" fontId="0" fillId="8" borderId="5" xfId="2" applyNumberFormat="1" applyFont="1" applyFill="1" applyBorder="1" applyAlignment="1">
      <alignment horizontal="right"/>
    </xf>
    <xf numFmtId="168" fontId="0" fillId="9" borderId="5" xfId="2" applyNumberFormat="1" applyFont="1" applyFill="1" applyBorder="1" applyAlignment="1">
      <alignment horizontal="right" vertical="center"/>
    </xf>
    <xf numFmtId="168" fontId="0" fillId="10" borderId="29" xfId="2" applyNumberFormat="1" applyFont="1" applyFill="1" applyBorder="1" applyAlignment="1">
      <alignment horizontal="right" vertical="center"/>
    </xf>
    <xf numFmtId="168" fontId="2" fillId="5" borderId="30" xfId="2" applyNumberFormat="1" applyFont="1" applyFill="1" applyBorder="1"/>
    <xf numFmtId="168" fontId="0" fillId="11" borderId="15" xfId="2" applyNumberFormat="1" applyFont="1" applyFill="1" applyBorder="1" applyAlignment="1">
      <alignment horizontal="center" vertical="center" wrapText="1"/>
    </xf>
    <xf numFmtId="168" fontId="0" fillId="0" borderId="10" xfId="2" applyNumberFormat="1" applyFont="1" applyBorder="1" applyAlignment="1">
      <alignment horizontal="center" vertical="center" wrapText="1"/>
    </xf>
    <xf numFmtId="0" fontId="8" fillId="4" borderId="24" xfId="0" applyFont="1" applyFill="1" applyBorder="1" applyAlignment="1">
      <alignment horizontal="left" vertical="center"/>
    </xf>
    <xf numFmtId="168" fontId="0" fillId="11" borderId="15" xfId="2" applyNumberFormat="1" applyFont="1" applyFill="1" applyBorder="1" applyAlignment="1">
      <alignment horizontal="right" vertical="center"/>
    </xf>
    <xf numFmtId="0" fontId="2" fillId="3" borderId="1" xfId="0" applyFont="1" applyFill="1" applyBorder="1" applyAlignment="1">
      <alignment horizontal="right" wrapText="1"/>
    </xf>
    <xf numFmtId="168" fontId="0" fillId="0" borderId="1" xfId="2" applyNumberFormat="1" applyFont="1" applyFill="1" applyBorder="1"/>
    <xf numFmtId="168" fontId="0" fillId="0" borderId="1" xfId="2" applyNumberFormat="1" applyFont="1" applyBorder="1"/>
    <xf numFmtId="0" fontId="2" fillId="3" borderId="1" xfId="0" applyFont="1" applyFill="1" applyBorder="1" applyAlignment="1">
      <alignment horizontal="right" vertical="center" wrapText="1"/>
    </xf>
    <xf numFmtId="164" fontId="0" fillId="15" borderId="1" xfId="1" applyNumberFormat="1" applyFont="1" applyFill="1" applyBorder="1" applyAlignment="1">
      <alignment horizontal="right"/>
    </xf>
    <xf numFmtId="1" fontId="0" fillId="0" borderId="0" xfId="1" applyNumberFormat="1" applyFont="1" applyAlignment="1">
      <alignment horizontal="center"/>
    </xf>
    <xf numFmtId="168" fontId="0" fillId="11" borderId="8" xfId="2" applyNumberFormat="1" applyFont="1" applyFill="1" applyBorder="1" applyAlignment="1">
      <alignment horizontal="center" vertical="center" wrapText="1"/>
    </xf>
    <xf numFmtId="0" fontId="2" fillId="0" borderId="0" xfId="0" applyFont="1" applyAlignment="1">
      <alignment horizontal="center"/>
    </xf>
    <xf numFmtId="0" fontId="2" fillId="3" borderId="6" xfId="0" applyFont="1" applyFill="1" applyBorder="1" applyAlignment="1">
      <alignment horizontal="center"/>
    </xf>
    <xf numFmtId="0" fontId="2" fillId="3" borderId="4" xfId="0" applyFont="1" applyFill="1" applyBorder="1" applyAlignment="1">
      <alignment horizontal="center"/>
    </xf>
    <xf numFmtId="0" fontId="8" fillId="6" borderId="17" xfId="0" applyFont="1" applyFill="1" applyBorder="1" applyAlignment="1">
      <alignment horizontal="center"/>
    </xf>
    <xf numFmtId="0" fontId="8" fillId="6" borderId="18" xfId="0" applyFont="1" applyFill="1" applyBorder="1" applyAlignment="1">
      <alignment horizontal="center"/>
    </xf>
    <xf numFmtId="0" fontId="8" fillId="6" borderId="19" xfId="0" applyFont="1" applyFill="1" applyBorder="1" applyAlignment="1">
      <alignment horizontal="center"/>
    </xf>
    <xf numFmtId="0" fontId="0" fillId="0" borderId="17" xfId="0" applyFill="1" applyBorder="1" applyAlignment="1">
      <alignment horizontal="left" vertical="center" wrapText="1"/>
    </xf>
    <xf numFmtId="0" fontId="0" fillId="0" borderId="19" xfId="0" applyFill="1" applyBorder="1" applyAlignment="1">
      <alignment horizontal="left" vertical="center" wrapText="1"/>
    </xf>
    <xf numFmtId="0" fontId="0" fillId="0" borderId="0" xfId="0" applyAlignment="1">
      <alignment horizontal="left" wrapText="1"/>
    </xf>
    <xf numFmtId="0" fontId="8" fillId="6" borderId="6" xfId="0" applyFont="1" applyFill="1" applyBorder="1" applyAlignment="1">
      <alignment horizontal="center"/>
    </xf>
    <xf numFmtId="0" fontId="8" fillId="6" borderId="5" xfId="0" applyFont="1" applyFill="1" applyBorder="1" applyAlignment="1">
      <alignment horizontal="center"/>
    </xf>
    <xf numFmtId="0" fontId="8" fillId="6" borderId="4" xfId="0" applyFont="1" applyFill="1" applyBorder="1" applyAlignment="1">
      <alignment horizontal="center"/>
    </xf>
    <xf numFmtId="0" fontId="8" fillId="6" borderId="13" xfId="0" applyFont="1" applyFill="1" applyBorder="1" applyAlignment="1">
      <alignment horizontal="center" vertical="center"/>
    </xf>
    <xf numFmtId="0" fontId="8" fillId="6" borderId="9"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1" xfId="0" applyFont="1" applyFill="1" applyBorder="1" applyAlignment="1">
      <alignment horizontal="center" vertical="center"/>
    </xf>
    <xf numFmtId="168" fontId="2" fillId="6" borderId="3" xfId="0" applyNumberFormat="1" applyFont="1" applyFill="1" applyBorder="1" applyAlignment="1">
      <alignment horizontal="center" vertical="center"/>
    </xf>
    <xf numFmtId="168" fontId="2" fillId="6" borderId="10" xfId="0" applyNumberFormat="1" applyFont="1" applyFill="1" applyBorder="1" applyAlignment="1">
      <alignment horizontal="center" vertical="center"/>
    </xf>
    <xf numFmtId="0" fontId="0" fillId="11" borderId="20" xfId="0" applyFill="1" applyBorder="1" applyAlignment="1">
      <alignment horizontal="left" vertical="center" wrapText="1"/>
    </xf>
    <xf numFmtId="0" fontId="0" fillId="11" borderId="21" xfId="0" applyFill="1" applyBorder="1" applyAlignment="1">
      <alignment horizontal="left" vertical="center" wrapText="1"/>
    </xf>
    <xf numFmtId="0" fontId="8" fillId="6" borderId="7" xfId="0" applyFont="1" applyFill="1" applyBorder="1" applyAlignment="1">
      <alignment horizontal="center" vertical="center"/>
    </xf>
    <xf numFmtId="0" fontId="8" fillId="6" borderId="24" xfId="0" applyFont="1" applyFill="1" applyBorder="1" applyAlignment="1">
      <alignment horizontal="center" vertical="center"/>
    </xf>
    <xf numFmtId="0" fontId="8" fillId="14" borderId="17" xfId="0" applyFont="1" applyFill="1" applyBorder="1" applyAlignment="1">
      <alignment horizontal="center"/>
    </xf>
    <xf numFmtId="0" fontId="8" fillId="14" borderId="18" xfId="0" applyFont="1" applyFill="1" applyBorder="1" applyAlignment="1">
      <alignment horizontal="center"/>
    </xf>
    <xf numFmtId="0" fontId="8" fillId="14" borderId="19" xfId="0" applyFont="1" applyFill="1" applyBorder="1" applyAlignment="1">
      <alignment horizontal="center"/>
    </xf>
    <xf numFmtId="168" fontId="2" fillId="6" borderId="23" xfId="0" applyNumberFormat="1" applyFont="1" applyFill="1" applyBorder="1" applyAlignment="1">
      <alignment horizontal="center" vertical="center"/>
    </xf>
    <xf numFmtId="168" fontId="2" fillId="6" borderId="25" xfId="0" applyNumberFormat="1" applyFont="1" applyFill="1" applyBorder="1" applyAlignment="1">
      <alignment horizontal="center" vertical="center"/>
    </xf>
    <xf numFmtId="0" fontId="2" fillId="5" borderId="28" xfId="0" applyFont="1" applyFill="1" applyBorder="1" applyAlignment="1">
      <alignment horizontal="right"/>
    </xf>
    <xf numFmtId="0" fontId="2" fillId="5" borderId="29" xfId="0" applyFont="1" applyFill="1" applyBorder="1" applyAlignment="1">
      <alignment horizontal="right"/>
    </xf>
    <xf numFmtId="0" fontId="9" fillId="0" borderId="0" xfId="0" applyFont="1" applyFill="1" applyBorder="1" applyAlignment="1">
      <alignment horizontal="left" vertical="center" wrapText="1" shrinkToFit="1"/>
    </xf>
    <xf numFmtId="0" fontId="0" fillId="0" borderId="0" xfId="0" applyAlignment="1">
      <alignment horizontal="left"/>
    </xf>
    <xf numFmtId="0" fontId="0" fillId="0" borderId="0" xfId="0" applyAlignment="1">
      <alignment horizontal="left" vertical="center" wrapText="1"/>
    </xf>
    <xf numFmtId="0" fontId="0" fillId="0" borderId="14" xfId="0" applyFill="1" applyBorder="1" applyAlignment="1">
      <alignment horizontal="left" vertical="center" wrapText="1"/>
    </xf>
    <xf numFmtId="0" fontId="9" fillId="0" borderId="1" xfId="0" applyFont="1" applyBorder="1" applyAlignment="1">
      <alignment horizontal="left" vertical="center" wrapText="1"/>
    </xf>
    <xf numFmtId="0" fontId="9" fillId="11" borderId="1"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11" borderId="31" xfId="0" applyFill="1" applyBorder="1" applyAlignment="1">
      <alignment horizontal="left" vertical="center" wrapText="1"/>
    </xf>
    <xf numFmtId="0" fontId="9" fillId="4" borderId="32"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34" xfId="0" applyFont="1" applyFill="1" applyBorder="1" applyAlignment="1">
      <alignment horizontal="left" vertical="center" wrapText="1"/>
    </xf>
    <xf numFmtId="0" fontId="0" fillId="11" borderId="14" xfId="0" applyFill="1" applyBorder="1" applyAlignment="1">
      <alignment horizontal="left" vertical="center" wrapText="1"/>
    </xf>
    <xf numFmtId="0" fontId="0" fillId="11" borderId="1" xfId="0" applyFill="1" applyBorder="1" applyAlignment="1">
      <alignment horizontal="left" vertical="center" wrapText="1"/>
    </xf>
    <xf numFmtId="168" fontId="2" fillId="13" borderId="19" xfId="0" applyNumberFormat="1" applyFont="1" applyFill="1" applyBorder="1" applyAlignment="1">
      <alignment horizontal="right"/>
    </xf>
    <xf numFmtId="168" fontId="2" fillId="13" borderId="19" xfId="0" applyNumberFormat="1" applyFont="1" applyFill="1" applyBorder="1" applyAlignment="1">
      <alignment horizontal="center"/>
    </xf>
    <xf numFmtId="168" fontId="2" fillId="13" borderId="17" xfId="0" applyNumberFormat="1" applyFont="1" applyFill="1" applyBorder="1" applyAlignment="1">
      <alignment horizontal="center"/>
    </xf>
    <xf numFmtId="168" fontId="2" fillId="5" borderId="35" xfId="0" applyNumberFormat="1" applyFont="1" applyFill="1" applyBorder="1" applyAlignment="1">
      <alignment horizontal="center" vertical="center"/>
    </xf>
    <xf numFmtId="168" fontId="2" fillId="5" borderId="36" xfId="0" applyNumberFormat="1" applyFont="1" applyFill="1" applyBorder="1" applyAlignment="1">
      <alignment horizontal="center" vertical="center"/>
    </xf>
    <xf numFmtId="168" fontId="2" fillId="5" borderId="37" xfId="0" applyNumberFormat="1" applyFont="1" applyFill="1" applyBorder="1" applyAlignment="1">
      <alignment horizontal="center" vertical="center"/>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colors>
    <mruColors>
      <color rgb="FFF582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606968</xdr:colOff>
      <xdr:row>3</xdr:row>
      <xdr:rowOff>78921</xdr:rowOff>
    </xdr:from>
    <xdr:to>
      <xdr:col>2</xdr:col>
      <xdr:colOff>964657</xdr:colOff>
      <xdr:row>8</xdr:row>
      <xdr:rowOff>173390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0018" y="659946"/>
          <a:ext cx="1453064" cy="1237469"/>
        </a:xfrm>
        <a:prstGeom prst="rect">
          <a:avLst/>
        </a:prstGeom>
      </xdr:spPr>
    </xdr:pic>
    <xdr:clientData/>
  </xdr:twoCellAnchor>
  <xdr:twoCellAnchor editAs="oneCell">
    <xdr:from>
      <xdr:col>1</xdr:col>
      <xdr:colOff>284655</xdr:colOff>
      <xdr:row>14</xdr:row>
      <xdr:rowOff>57150</xdr:rowOff>
    </xdr:from>
    <xdr:to>
      <xdr:col>2</xdr:col>
      <xdr:colOff>995034</xdr:colOff>
      <xdr:row>18</xdr:row>
      <xdr:rowOff>110490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27705" y="2933700"/>
          <a:ext cx="1805754" cy="1005840"/>
        </a:xfrm>
        <a:prstGeom prst="rect">
          <a:avLst/>
        </a:prstGeom>
      </xdr:spPr>
    </xdr:pic>
    <xdr:clientData/>
  </xdr:twoCellAnchor>
  <xdr:twoCellAnchor editAs="oneCell">
    <xdr:from>
      <xdr:col>0</xdr:col>
      <xdr:colOff>1524000</xdr:colOff>
      <xdr:row>22</xdr:row>
      <xdr:rowOff>85040</xdr:rowOff>
    </xdr:from>
    <xdr:to>
      <xdr:col>3</xdr:col>
      <xdr:colOff>295275</xdr:colOff>
      <xdr:row>26</xdr:row>
      <xdr:rowOff>35168</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24000" y="4676090"/>
          <a:ext cx="2505075" cy="9216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1339056</xdr:colOff>
      <xdr:row>4</xdr:row>
      <xdr:rowOff>182873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44131" cy="95439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10584</xdr:colOff>
      <xdr:row>0</xdr:row>
      <xdr:rowOff>0</xdr:rowOff>
    </xdr:from>
    <xdr:to>
      <xdr:col>1</xdr:col>
      <xdr:colOff>1803665</xdr:colOff>
      <xdr:row>4</xdr:row>
      <xdr:rowOff>128898</xdr:rowOff>
    </xdr:to>
    <xdr:pic>
      <xdr:nvPicPr>
        <xdr:cNvPr id="2"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4" y="0"/>
          <a:ext cx="3993356" cy="9480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408781</xdr:colOff>
      <xdr:row>4</xdr:row>
      <xdr:rowOff>179698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771106" cy="9512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253206</xdr:colOff>
      <xdr:row>4</xdr:row>
      <xdr:rowOff>179698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910806" cy="9512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19</xdr:row>
      <xdr:rowOff>108960</xdr:rowOff>
    </xdr:from>
    <xdr:to>
      <xdr:col>0</xdr:col>
      <xdr:colOff>895350</xdr:colOff>
      <xdr:row>22</xdr:row>
      <xdr:rowOff>125186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737985"/>
          <a:ext cx="695325" cy="5877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304800</xdr:colOff>
      <xdr:row>19</xdr:row>
      <xdr:rowOff>76200</xdr:rowOff>
    </xdr:from>
    <xdr:to>
      <xdr:col>0</xdr:col>
      <xdr:colOff>1000125</xdr:colOff>
      <xdr:row>22</xdr:row>
      <xdr:rowOff>92426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3705225"/>
          <a:ext cx="695325" cy="5877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190501</xdr:colOff>
      <xdr:row>0</xdr:row>
      <xdr:rowOff>131886</xdr:rowOff>
    </xdr:from>
    <xdr:to>
      <xdr:col>1</xdr:col>
      <xdr:colOff>885826</xdr:colOff>
      <xdr:row>3</xdr:row>
      <xdr:rowOff>148112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309" y="131886"/>
          <a:ext cx="695325" cy="5877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19</xdr:row>
      <xdr:rowOff>95250</xdr:rowOff>
    </xdr:from>
    <xdr:to>
      <xdr:col>0</xdr:col>
      <xdr:colOff>942975</xdr:colOff>
      <xdr:row>22</xdr:row>
      <xdr:rowOff>111476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3724275"/>
          <a:ext cx="695325" cy="5877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95251</xdr:colOff>
      <xdr:row>21</xdr:row>
      <xdr:rowOff>84362</xdr:rowOff>
    </xdr:from>
    <xdr:to>
      <xdr:col>0</xdr:col>
      <xdr:colOff>1314451</xdr:colOff>
      <xdr:row>24</xdr:row>
      <xdr:rowOff>186791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4094387"/>
          <a:ext cx="1219200" cy="6739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123825</xdr:colOff>
      <xdr:row>2</xdr:row>
      <xdr:rowOff>34925</xdr:rowOff>
    </xdr:from>
    <xdr:to>
      <xdr:col>2</xdr:col>
      <xdr:colOff>120650</xdr:colOff>
      <xdr:row>5</xdr:row>
      <xdr:rowOff>137354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 y="415925"/>
          <a:ext cx="1219200" cy="6739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20</xdr:row>
      <xdr:rowOff>57150</xdr:rowOff>
    </xdr:from>
    <xdr:to>
      <xdr:col>0</xdr:col>
      <xdr:colOff>1333500</xdr:colOff>
      <xdr:row>23</xdr:row>
      <xdr:rowOff>159579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3876675"/>
          <a:ext cx="1219200" cy="6739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180975</xdr:colOff>
      <xdr:row>20</xdr:row>
      <xdr:rowOff>104775</xdr:rowOff>
    </xdr:from>
    <xdr:to>
      <xdr:col>0</xdr:col>
      <xdr:colOff>1400175</xdr:colOff>
      <xdr:row>24</xdr:row>
      <xdr:rowOff>16704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3343275"/>
          <a:ext cx="1219200" cy="6739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5"/>
  <sheetViews>
    <sheetView showGridLines="0" topLeftCell="B7" zoomScaleNormal="100" workbookViewId="0">
      <selection activeCell="M37" sqref="M37"/>
    </sheetView>
  </sheetViews>
  <sheetFormatPr defaultRowHeight="15" x14ac:dyDescent="0.25"/>
  <cols>
    <col min="1" max="1" width="23.140625" style="15" bestFit="1" customWidth="1"/>
    <col min="2" max="2" width="16.42578125" style="10" bestFit="1" customWidth="1"/>
    <col min="3" max="3" width="16.42578125" style="10" customWidth="1"/>
    <col min="4" max="4" width="8.28515625" style="10" customWidth="1"/>
    <col min="5" max="5" width="26.85546875" customWidth="1"/>
    <col min="6" max="7" width="24.85546875" customWidth="1"/>
  </cols>
  <sheetData>
    <row r="3" spans="5:7" ht="15.75" x14ac:dyDescent="0.25">
      <c r="E3" s="48" t="s">
        <v>53</v>
      </c>
      <c r="F3" s="10"/>
      <c r="G3" s="10"/>
    </row>
    <row r="4" spans="5:7" x14ac:dyDescent="0.25">
      <c r="E4" s="17"/>
      <c r="F4" s="18" t="s">
        <v>55</v>
      </c>
      <c r="G4" s="18" t="s">
        <v>45</v>
      </c>
    </row>
    <row r="5" spans="5:7" x14ac:dyDescent="0.25">
      <c r="E5" s="17" t="s">
        <v>47</v>
      </c>
      <c r="F5" s="19">
        <f>'Mega Project Tax Credit'!B47</f>
        <v>1296093750</v>
      </c>
      <c r="G5" s="19">
        <f>'Mega Project Tax Credit'!C47</f>
        <v>1060590503.937878</v>
      </c>
    </row>
    <row r="6" spans="5:7" ht="30" x14ac:dyDescent="0.25">
      <c r="E6" s="17" t="s">
        <v>52</v>
      </c>
      <c r="F6" s="20">
        <f>'Materials Exemption'!B33</f>
        <v>320400000</v>
      </c>
      <c r="G6" s="20">
        <f>'Materials Exemption'!C33</f>
        <v>302264150.94339621</v>
      </c>
    </row>
    <row r="7" spans="5:7" x14ac:dyDescent="0.25">
      <c r="E7" s="17" t="s">
        <v>106</v>
      </c>
      <c r="F7" s="19">
        <f>'Amazon Academy of GA'!D26</f>
        <v>161365494.82999998</v>
      </c>
      <c r="G7" s="19">
        <f>'Amazon Academy of GA'!E26</f>
        <v>152231598.89622641</v>
      </c>
    </row>
    <row r="8" spans="5:7" x14ac:dyDescent="0.25">
      <c r="E8" s="17" t="s">
        <v>107</v>
      </c>
      <c r="F8" s="19">
        <f>'State Grant'!B32</f>
        <v>100000000</v>
      </c>
      <c r="G8" s="19">
        <f>'State Grant'!C32</f>
        <v>94339622.641509429</v>
      </c>
    </row>
    <row r="9" spans="5:7" x14ac:dyDescent="0.25">
      <c r="E9" s="36" t="s">
        <v>54</v>
      </c>
      <c r="F9" s="39">
        <f>SUM(F5:F8)</f>
        <v>1877859244.8299999</v>
      </c>
      <c r="G9" s="39">
        <f>SUM(G5:G8)</f>
        <v>1609425876.4190102</v>
      </c>
    </row>
    <row r="14" spans="5:7" ht="15.75" x14ac:dyDescent="0.25">
      <c r="E14" s="48" t="s">
        <v>46</v>
      </c>
      <c r="F14" s="10"/>
      <c r="G14" s="10"/>
    </row>
    <row r="15" spans="5:7" x14ac:dyDescent="0.25">
      <c r="E15" s="17"/>
      <c r="F15" s="18" t="s">
        <v>55</v>
      </c>
      <c r="G15" s="18" t="s">
        <v>45</v>
      </c>
    </row>
    <row r="16" spans="5:7" ht="30" x14ac:dyDescent="0.25">
      <c r="E16" s="35" t="s">
        <v>108</v>
      </c>
      <c r="F16" s="20">
        <f>'Lease Purchase for Abatement'!B32</f>
        <v>57156000</v>
      </c>
      <c r="G16" s="20">
        <f>'Lease Purchase for Abatement'!C32</f>
        <v>36217130.069048882</v>
      </c>
    </row>
    <row r="17" spans="5:7" s="13" customFormat="1" x14ac:dyDescent="0.25">
      <c r="E17" s="17" t="s">
        <v>109</v>
      </c>
      <c r="F17" s="20">
        <f>'Local Grant'!B32</f>
        <v>25000000</v>
      </c>
      <c r="G17" s="20">
        <f>'Local Grant'!C32</f>
        <v>18400217.628536738</v>
      </c>
    </row>
    <row r="18" spans="5:7" x14ac:dyDescent="0.25">
      <c r="E18" s="17" t="s">
        <v>105</v>
      </c>
      <c r="F18" s="19">
        <f>'Impact Fees'!B31</f>
        <v>5250000</v>
      </c>
      <c r="G18" s="19">
        <f>'Impact Fees'!C31</f>
        <v>4952830.1886792453</v>
      </c>
    </row>
    <row r="19" spans="5:7" x14ac:dyDescent="0.25">
      <c r="E19" s="36" t="s">
        <v>110</v>
      </c>
      <c r="F19" s="39">
        <f>SUM(F16:F18)</f>
        <v>87406000</v>
      </c>
      <c r="G19" s="39">
        <f>SUM(G16:G18)</f>
        <v>59570177.886264868</v>
      </c>
    </row>
    <row r="24" spans="5:7" s="13" customFormat="1" x14ac:dyDescent="0.25">
      <c r="E24" s="17"/>
      <c r="F24" s="18" t="s">
        <v>55</v>
      </c>
      <c r="G24" s="18" t="s">
        <v>45</v>
      </c>
    </row>
    <row r="25" spans="5:7" ht="31.5" x14ac:dyDescent="0.25">
      <c r="E25" s="37" t="s">
        <v>119</v>
      </c>
      <c r="F25" s="38">
        <f>F9+F19</f>
        <v>1965265244.8299999</v>
      </c>
      <c r="G25" s="38">
        <f>G9+G19</f>
        <v>1668996054.305275</v>
      </c>
    </row>
  </sheetData>
  <pageMargins left="0.7" right="0.7" top="0.75" bottom="0.75" header="0.3" footer="0.3"/>
  <pageSetup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4:D10"/>
  <sheetViews>
    <sheetView showGridLines="0" zoomScaleNormal="100" workbookViewId="0">
      <selection activeCell="A8" sqref="A8"/>
    </sheetView>
  </sheetViews>
  <sheetFormatPr defaultColWidth="11.42578125" defaultRowHeight="15" x14ac:dyDescent="0.25"/>
  <cols>
    <col min="1" max="1" width="37.5703125" bestFit="1" customWidth="1"/>
    <col min="2" max="2" width="24.85546875" bestFit="1" customWidth="1"/>
  </cols>
  <sheetData>
    <row r="4" spans="1:4" ht="15.75" thickBot="1" x14ac:dyDescent="0.3"/>
    <row r="5" spans="1:4" ht="16.5" thickBot="1" x14ac:dyDescent="0.3">
      <c r="A5" s="159" t="s">
        <v>122</v>
      </c>
      <c r="B5" s="160"/>
      <c r="C5" s="51"/>
      <c r="D5" s="52"/>
    </row>
    <row r="6" spans="1:4" ht="15.75" x14ac:dyDescent="0.25">
      <c r="A6" s="53" t="s">
        <v>123</v>
      </c>
      <c r="B6" s="54">
        <f>'Local District Specific'!$D$21</f>
        <v>87406000</v>
      </c>
      <c r="C6" s="55"/>
    </row>
    <row r="7" spans="1:4" ht="15.75" x14ac:dyDescent="0.25">
      <c r="A7" s="56" t="s">
        <v>124</v>
      </c>
      <c r="B7" s="57">
        <f>'Local Infrastructure Investment'!G12</f>
        <v>2227006075</v>
      </c>
      <c r="C7" s="55"/>
    </row>
    <row r="8" spans="1:4" ht="16.5" thickBot="1" x14ac:dyDescent="0.3">
      <c r="A8" s="58" t="s">
        <v>169</v>
      </c>
      <c r="B8" s="59">
        <f>'Big Ideas'!M15</f>
        <v>8153000</v>
      </c>
      <c r="C8" s="55"/>
    </row>
    <row r="9" spans="1:4" ht="16.5" thickBot="1" x14ac:dyDescent="0.3">
      <c r="A9" s="55"/>
      <c r="B9" s="55"/>
      <c r="C9" s="55"/>
    </row>
    <row r="10" spans="1:4" ht="16.5" thickBot="1" x14ac:dyDescent="0.3">
      <c r="A10" s="60" t="s">
        <v>125</v>
      </c>
      <c r="B10" s="61">
        <f>SUM(B6:B8)+90000000</f>
        <v>2412565075</v>
      </c>
      <c r="C10" s="55"/>
    </row>
  </sheetData>
  <mergeCells count="1">
    <mergeCell ref="A5:B5"/>
  </mergeCells>
  <printOptions horizontalCentered="1"/>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4"/>
  <sheetViews>
    <sheetView showGridLines="0" zoomScale="70" zoomScaleNormal="70" workbookViewId="0">
      <selection activeCell="C9" sqref="C9"/>
    </sheetView>
  </sheetViews>
  <sheetFormatPr defaultColWidth="8.85546875" defaultRowHeight="15" x14ac:dyDescent="0.25"/>
  <cols>
    <col min="1" max="2" width="33" customWidth="1"/>
    <col min="3" max="3" width="18" bestFit="1" customWidth="1"/>
    <col min="4" max="4" width="18.140625" bestFit="1" customWidth="1"/>
    <col min="5" max="5" width="11.42578125" bestFit="1" customWidth="1"/>
  </cols>
  <sheetData>
    <row r="1" spans="1:4" x14ac:dyDescent="0.25">
      <c r="D1" s="62"/>
    </row>
    <row r="2" spans="1:4" x14ac:dyDescent="0.25">
      <c r="D2" s="62"/>
    </row>
    <row r="3" spans="1:4" ht="18.75" x14ac:dyDescent="0.3">
      <c r="A3" s="63"/>
      <c r="B3" s="63"/>
      <c r="C3" s="63"/>
      <c r="D3" s="64"/>
    </row>
    <row r="4" spans="1:4" ht="15.75" thickBot="1" x14ac:dyDescent="0.3">
      <c r="D4" s="62"/>
    </row>
    <row r="5" spans="1:4" ht="16.5" thickBot="1" x14ac:dyDescent="0.3">
      <c r="A5" s="167" t="s">
        <v>126</v>
      </c>
      <c r="B5" s="168"/>
      <c r="C5" s="169"/>
      <c r="D5" s="65"/>
    </row>
    <row r="6" spans="1:4" ht="15.75" customHeight="1" x14ac:dyDescent="0.25">
      <c r="A6" s="170" t="s">
        <v>127</v>
      </c>
      <c r="B6" s="172" t="s">
        <v>181</v>
      </c>
      <c r="C6" s="174" t="s">
        <v>125</v>
      </c>
      <c r="D6" s="62"/>
    </row>
    <row r="7" spans="1:4" x14ac:dyDescent="0.25">
      <c r="A7" s="171"/>
      <c r="B7" s="173"/>
      <c r="C7" s="175"/>
      <c r="D7" s="62"/>
    </row>
    <row r="8" spans="1:4" ht="15" customHeight="1" x14ac:dyDescent="0.25">
      <c r="A8" s="66" t="s">
        <v>128</v>
      </c>
      <c r="B8" s="67">
        <v>57156000</v>
      </c>
      <c r="C8" s="68">
        <f>B8</f>
        <v>57156000</v>
      </c>
      <c r="D8" s="62"/>
    </row>
    <row r="9" spans="1:4" ht="15.75" x14ac:dyDescent="0.25">
      <c r="A9" s="69" t="s">
        <v>129</v>
      </c>
      <c r="B9" s="70">
        <v>57156000</v>
      </c>
      <c r="C9" s="71">
        <f>B9</f>
        <v>57156000</v>
      </c>
      <c r="D9" s="72"/>
    </row>
    <row r="10" spans="1:4" ht="15" customHeight="1" x14ac:dyDescent="0.25">
      <c r="A10" s="73" t="s">
        <v>130</v>
      </c>
      <c r="B10" s="74">
        <v>57156000</v>
      </c>
      <c r="C10" s="75">
        <f>B10</f>
        <v>57156000</v>
      </c>
      <c r="D10" s="76"/>
    </row>
    <row r="11" spans="1:4" ht="16.5" thickBot="1" x14ac:dyDescent="0.3">
      <c r="A11" s="77" t="s">
        <v>131</v>
      </c>
      <c r="B11" s="78">
        <v>57156000</v>
      </c>
      <c r="C11" s="79">
        <f>B11</f>
        <v>57156000</v>
      </c>
      <c r="D11" s="80"/>
    </row>
    <row r="12" spans="1:4" ht="15.75" thickBot="1" x14ac:dyDescent="0.3"/>
    <row r="13" spans="1:4" ht="16.5" thickBot="1" x14ac:dyDescent="0.3">
      <c r="A13" s="161" t="s">
        <v>132</v>
      </c>
      <c r="B13" s="162"/>
      <c r="C13" s="162"/>
      <c r="D13" s="81"/>
    </row>
    <row r="14" spans="1:4" ht="194.25" customHeight="1" thickBot="1" x14ac:dyDescent="0.3">
      <c r="A14" s="82" t="s">
        <v>133</v>
      </c>
      <c r="B14" s="176" t="s">
        <v>134</v>
      </c>
      <c r="C14" s="177"/>
      <c r="D14" s="83">
        <f>500*50000</f>
        <v>25000000</v>
      </c>
    </row>
    <row r="15" spans="1:4" ht="15.75" thickBot="1" x14ac:dyDescent="0.3">
      <c r="D15" s="140">
        <f>SUM(D14:D14)</f>
        <v>25000000</v>
      </c>
    </row>
    <row r="16" spans="1:4" ht="15.75" thickBot="1" x14ac:dyDescent="0.3">
      <c r="D16" s="84"/>
    </row>
    <row r="17" spans="1:5" ht="16.5" thickBot="1" x14ac:dyDescent="0.3">
      <c r="A17" s="161" t="s">
        <v>135</v>
      </c>
      <c r="B17" s="162"/>
      <c r="C17" s="162"/>
      <c r="D17" s="163"/>
      <c r="E17" s="65"/>
    </row>
    <row r="18" spans="1:5" ht="162" customHeight="1" thickBot="1" x14ac:dyDescent="0.3">
      <c r="A18" s="138" t="s">
        <v>136</v>
      </c>
      <c r="B18" s="164" t="s">
        <v>180</v>
      </c>
      <c r="C18" s="165"/>
      <c r="D18" s="139">
        <v>5250000</v>
      </c>
    </row>
    <row r="19" spans="1:5" ht="15.75" thickBot="1" x14ac:dyDescent="0.3">
      <c r="D19" s="141">
        <f>D18</f>
        <v>5250000</v>
      </c>
    </row>
    <row r="20" spans="1:5" ht="31.5" customHeight="1" thickBot="1" x14ac:dyDescent="0.3"/>
    <row r="21" spans="1:5" ht="15.75" thickBot="1" x14ac:dyDescent="0.3">
      <c r="B21" s="202" t="s">
        <v>171</v>
      </c>
      <c r="C21" s="201"/>
      <c r="D21" s="200">
        <f>C11+D15+D19</f>
        <v>87406000</v>
      </c>
    </row>
    <row r="23" spans="1:5" ht="73.5" customHeight="1" x14ac:dyDescent="0.25">
      <c r="A23" s="166" t="s">
        <v>137</v>
      </c>
      <c r="B23" s="166"/>
      <c r="C23" s="166"/>
      <c r="D23" s="166"/>
    </row>
    <row r="24" spans="1:5" ht="46.5" customHeight="1" x14ac:dyDescent="0.25">
      <c r="A24" s="166" t="s">
        <v>138</v>
      </c>
      <c r="B24" s="166"/>
      <c r="C24" s="166"/>
      <c r="D24" s="166"/>
    </row>
  </sheetData>
  <mergeCells count="11">
    <mergeCell ref="A17:D17"/>
    <mergeCell ref="B18:C18"/>
    <mergeCell ref="A23:D23"/>
    <mergeCell ref="A24:D24"/>
    <mergeCell ref="A5:C5"/>
    <mergeCell ref="A6:A7"/>
    <mergeCell ref="B6:B7"/>
    <mergeCell ref="C6:C7"/>
    <mergeCell ref="A13:C13"/>
    <mergeCell ref="B14:C14"/>
    <mergeCell ref="B21:C21"/>
  </mergeCells>
  <printOptions horizontalCentered="1"/>
  <pageMargins left="0.7" right="0.7" top="0.75" bottom="0.75" header="0.3" footer="0.3"/>
  <pageSetup scale="6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4:M17"/>
  <sheetViews>
    <sheetView showGridLines="0" zoomScaleNormal="100" zoomScaleSheetLayoutView="100" workbookViewId="0">
      <selection activeCell="A16" sqref="A16:G16"/>
    </sheetView>
  </sheetViews>
  <sheetFormatPr defaultColWidth="11.42578125" defaultRowHeight="15" x14ac:dyDescent="0.25"/>
  <cols>
    <col min="1" max="1" width="29" bestFit="1" customWidth="1"/>
    <col min="2" max="2" width="21.42578125" bestFit="1" customWidth="1"/>
    <col min="3" max="3" width="23.140625" bestFit="1" customWidth="1"/>
    <col min="4" max="4" width="22.7109375" bestFit="1" customWidth="1"/>
    <col min="5" max="5" width="24.140625" bestFit="1" customWidth="1"/>
    <col min="6" max="6" width="16.42578125" customWidth="1"/>
    <col min="7" max="7" width="22.85546875" customWidth="1"/>
    <col min="10" max="10" width="15.28515625" bestFit="1" customWidth="1"/>
    <col min="11" max="11" width="14.28515625" bestFit="1" customWidth="1"/>
    <col min="12" max="12" width="15.28515625" bestFit="1" customWidth="1"/>
    <col min="13" max="13" width="14.28515625" bestFit="1" customWidth="1"/>
  </cols>
  <sheetData>
    <row r="4" spans="1:13" ht="15.75" thickBot="1" x14ac:dyDescent="0.3"/>
    <row r="5" spans="1:13" ht="16.5" thickBot="1" x14ac:dyDescent="0.3">
      <c r="A5" s="161" t="s">
        <v>139</v>
      </c>
      <c r="B5" s="162"/>
      <c r="C5" s="162"/>
      <c r="D5" s="162"/>
      <c r="E5" s="162"/>
      <c r="F5" s="162"/>
      <c r="G5" s="163"/>
    </row>
    <row r="6" spans="1:13" ht="16.5" thickBot="1" x14ac:dyDescent="0.3">
      <c r="A6" s="178" t="s">
        <v>127</v>
      </c>
      <c r="B6" s="180" t="s">
        <v>175</v>
      </c>
      <c r="C6" s="181"/>
      <c r="D6" s="181"/>
      <c r="E6" s="181"/>
      <c r="F6" s="182"/>
      <c r="G6" s="183" t="s">
        <v>125</v>
      </c>
    </row>
    <row r="7" spans="1:13" ht="18" thickBot="1" x14ac:dyDescent="0.3">
      <c r="A7" s="179"/>
      <c r="B7" s="85" t="s">
        <v>174</v>
      </c>
      <c r="C7" s="86" t="s">
        <v>140</v>
      </c>
      <c r="D7" s="86" t="s">
        <v>141</v>
      </c>
      <c r="E7" s="87" t="s">
        <v>176</v>
      </c>
      <c r="F7" s="88" t="s">
        <v>142</v>
      </c>
      <c r="G7" s="184"/>
    </row>
    <row r="8" spans="1:13" ht="15" customHeight="1" thickBot="1" x14ac:dyDescent="0.3">
      <c r="A8" s="89" t="s">
        <v>128</v>
      </c>
      <c r="B8" s="142">
        <v>25635064</v>
      </c>
      <c r="C8" s="142">
        <v>3290000</v>
      </c>
      <c r="D8" s="142">
        <v>14754350</v>
      </c>
      <c r="E8" s="142">
        <v>0</v>
      </c>
      <c r="F8" s="142">
        <v>8666480</v>
      </c>
      <c r="G8" s="90">
        <f>SUM(B8:F8)</f>
        <v>52345894</v>
      </c>
      <c r="I8" s="10"/>
      <c r="J8" s="9"/>
      <c r="K8" s="9"/>
      <c r="L8" s="9"/>
      <c r="M8" s="9"/>
    </row>
    <row r="9" spans="1:13" ht="16.5" thickBot="1" x14ac:dyDescent="0.3">
      <c r="A9" s="91" t="s">
        <v>129</v>
      </c>
      <c r="B9" s="143">
        <v>71089237</v>
      </c>
      <c r="C9" s="143">
        <v>1816000</v>
      </c>
      <c r="D9" s="143">
        <v>23071000</v>
      </c>
      <c r="E9" s="143">
        <v>905650000</v>
      </c>
      <c r="F9" s="143">
        <v>8111860</v>
      </c>
      <c r="G9" s="92">
        <f>SUM(B9:F9)</f>
        <v>1009738097</v>
      </c>
    </row>
    <row r="10" spans="1:13" ht="15" customHeight="1" thickBot="1" x14ac:dyDescent="0.3">
      <c r="A10" s="93" t="s">
        <v>130</v>
      </c>
      <c r="B10" s="144">
        <v>73162623</v>
      </c>
      <c r="C10" s="144">
        <v>942500</v>
      </c>
      <c r="D10" s="144">
        <v>11076496</v>
      </c>
      <c r="E10" s="144">
        <v>0</v>
      </c>
      <c r="F10" s="144">
        <f>10334262+13000000+23200000+4020000</f>
        <v>50554262</v>
      </c>
      <c r="G10" s="94">
        <f>SUM(B10:F10)</f>
        <v>135735881</v>
      </c>
    </row>
    <row r="11" spans="1:13" ht="15" customHeight="1" thickBot="1" x14ac:dyDescent="0.3">
      <c r="A11" s="95" t="s">
        <v>131</v>
      </c>
      <c r="B11" s="145">
        <v>72264685</v>
      </c>
      <c r="C11" s="145">
        <v>41045000</v>
      </c>
      <c r="D11" s="145">
        <v>1632000</v>
      </c>
      <c r="E11" s="145">
        <v>905650000</v>
      </c>
      <c r="F11" s="145">
        <f>6570000+2024518</f>
        <v>8594518</v>
      </c>
      <c r="G11" s="96">
        <f>SUM(B11:F11)</f>
        <v>1029186203</v>
      </c>
    </row>
    <row r="12" spans="1:13" ht="15.75" thickBot="1" x14ac:dyDescent="0.3">
      <c r="E12" s="185" t="s">
        <v>143</v>
      </c>
      <c r="F12" s="186"/>
      <c r="G12" s="146">
        <f>SUM(G8:G11)</f>
        <v>2227006075</v>
      </c>
    </row>
    <row r="15" spans="1:13" x14ac:dyDescent="0.25">
      <c r="A15" s="166" t="s">
        <v>144</v>
      </c>
      <c r="B15" s="166"/>
      <c r="C15" s="166"/>
      <c r="D15" s="166"/>
      <c r="E15" s="166"/>
      <c r="F15" s="166"/>
      <c r="G15" s="166"/>
    </row>
    <row r="16" spans="1:13" ht="46.5" customHeight="1" x14ac:dyDescent="0.25">
      <c r="A16" s="166" t="s">
        <v>145</v>
      </c>
      <c r="B16" s="166"/>
      <c r="C16" s="166"/>
      <c r="D16" s="166"/>
      <c r="E16" s="166"/>
      <c r="F16" s="166"/>
      <c r="G16" s="166"/>
    </row>
    <row r="17" spans="1:7" x14ac:dyDescent="0.25">
      <c r="A17" s="166" t="s">
        <v>177</v>
      </c>
      <c r="B17" s="166"/>
      <c r="C17" s="166"/>
      <c r="D17" s="166"/>
      <c r="E17" s="166"/>
      <c r="F17" s="166"/>
      <c r="G17" s="166"/>
    </row>
  </sheetData>
  <mergeCells count="8">
    <mergeCell ref="A16:G16"/>
    <mergeCell ref="A17:G17"/>
    <mergeCell ref="A5:G5"/>
    <mergeCell ref="A6:A7"/>
    <mergeCell ref="B6:F6"/>
    <mergeCell ref="G6:G7"/>
    <mergeCell ref="E12:F12"/>
    <mergeCell ref="A15:G15"/>
  </mergeCells>
  <printOptions horizontalCentered="1"/>
  <pageMargins left="0.7" right="0.7" top="0.75" bottom="0.75" header="0.3" footer="0.3"/>
  <pageSetup scale="7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4:M22"/>
  <sheetViews>
    <sheetView showGridLines="0" tabSelected="1" topLeftCell="A7" zoomScaleNormal="100" workbookViewId="0">
      <selection activeCell="A9" sqref="A9"/>
    </sheetView>
  </sheetViews>
  <sheetFormatPr defaultColWidth="11.42578125" defaultRowHeight="15" x14ac:dyDescent="0.25"/>
  <cols>
    <col min="1" max="1" width="32" bestFit="1" customWidth="1"/>
    <col min="13" max="13" width="17.28515625" style="104" customWidth="1"/>
  </cols>
  <sheetData>
    <row r="4" spans="1:13" ht="15.75" thickBot="1" x14ac:dyDescent="0.3"/>
    <row r="5" spans="1:13" ht="16.5" thickBot="1" x14ac:dyDescent="0.3">
      <c r="A5" s="167" t="s">
        <v>154</v>
      </c>
      <c r="B5" s="168"/>
      <c r="C5" s="168"/>
      <c r="D5" s="168"/>
      <c r="E5" s="168"/>
      <c r="F5" s="168"/>
      <c r="G5" s="168"/>
      <c r="H5" s="168"/>
      <c r="I5" s="168"/>
      <c r="J5" s="168"/>
      <c r="K5" s="168"/>
      <c r="L5" s="168"/>
      <c r="M5" s="169"/>
    </row>
    <row r="6" spans="1:13" ht="134.25" customHeight="1" x14ac:dyDescent="0.25">
      <c r="A6" s="99" t="s">
        <v>147</v>
      </c>
      <c r="B6" s="194" t="s">
        <v>148</v>
      </c>
      <c r="C6" s="194"/>
      <c r="D6" s="194"/>
      <c r="E6" s="194"/>
      <c r="F6" s="194"/>
      <c r="G6" s="194"/>
      <c r="H6" s="194"/>
      <c r="I6" s="194"/>
      <c r="J6" s="194"/>
      <c r="K6" s="194"/>
      <c r="L6" s="194"/>
      <c r="M6" s="157" t="s">
        <v>152</v>
      </c>
    </row>
    <row r="7" spans="1:13" s="44" customFormat="1" ht="62.25" customHeight="1" x14ac:dyDescent="0.25">
      <c r="A7" s="149" t="s">
        <v>153</v>
      </c>
      <c r="B7" s="195" t="s">
        <v>162</v>
      </c>
      <c r="C7" s="196"/>
      <c r="D7" s="196"/>
      <c r="E7" s="196"/>
      <c r="F7" s="196"/>
      <c r="G7" s="196"/>
      <c r="H7" s="196"/>
      <c r="I7" s="196"/>
      <c r="J7" s="196"/>
      <c r="K7" s="196"/>
      <c r="L7" s="197"/>
      <c r="M7" s="107">
        <v>8000000</v>
      </c>
    </row>
    <row r="8" spans="1:13" ht="74.25" customHeight="1" x14ac:dyDescent="0.25">
      <c r="A8" s="110" t="s">
        <v>163</v>
      </c>
      <c r="B8" s="198" t="s">
        <v>164</v>
      </c>
      <c r="C8" s="198"/>
      <c r="D8" s="198"/>
      <c r="E8" s="198"/>
      <c r="F8" s="198"/>
      <c r="G8" s="198"/>
      <c r="H8" s="198"/>
      <c r="I8" s="198"/>
      <c r="J8" s="198"/>
      <c r="K8" s="198"/>
      <c r="L8" s="198"/>
      <c r="M8" s="150">
        <v>150000</v>
      </c>
    </row>
    <row r="9" spans="1:13" ht="235.5" customHeight="1" x14ac:dyDescent="0.25">
      <c r="A9" s="109" t="s">
        <v>165</v>
      </c>
      <c r="B9" s="191" t="s">
        <v>146</v>
      </c>
      <c r="C9" s="191"/>
      <c r="D9" s="191"/>
      <c r="E9" s="191"/>
      <c r="F9" s="191"/>
      <c r="G9" s="191"/>
      <c r="H9" s="191"/>
      <c r="I9" s="191"/>
      <c r="J9" s="191"/>
      <c r="K9" s="191"/>
      <c r="L9" s="191"/>
      <c r="M9" s="148" t="s">
        <v>155</v>
      </c>
    </row>
    <row r="10" spans="1:13" ht="63.95" customHeight="1" x14ac:dyDescent="0.25">
      <c r="A10" s="111" t="s">
        <v>158</v>
      </c>
      <c r="B10" s="199" t="s">
        <v>166</v>
      </c>
      <c r="C10" s="199"/>
      <c r="D10" s="199"/>
      <c r="E10" s="199"/>
      <c r="F10" s="199"/>
      <c r="G10" s="199"/>
      <c r="H10" s="199"/>
      <c r="I10" s="199"/>
      <c r="J10" s="199"/>
      <c r="K10" s="199"/>
      <c r="L10" s="199"/>
      <c r="M10" s="108" t="s">
        <v>155</v>
      </c>
    </row>
    <row r="11" spans="1:13" ht="30" customHeight="1" x14ac:dyDescent="0.25">
      <c r="A11" s="98" t="s">
        <v>159</v>
      </c>
      <c r="B11" s="193" t="s">
        <v>179</v>
      </c>
      <c r="C11" s="193"/>
      <c r="D11" s="193"/>
      <c r="E11" s="193"/>
      <c r="F11" s="193"/>
      <c r="G11" s="193"/>
      <c r="H11" s="193"/>
      <c r="I11" s="193"/>
      <c r="J11" s="193"/>
      <c r="K11" s="193"/>
      <c r="L11" s="193"/>
      <c r="M11" s="103">
        <v>3000</v>
      </c>
    </row>
    <row r="12" spans="1:13" ht="76.5" customHeight="1" x14ac:dyDescent="0.25">
      <c r="A12" s="110" t="s">
        <v>149</v>
      </c>
      <c r="B12" s="192" t="s">
        <v>150</v>
      </c>
      <c r="C12" s="192"/>
      <c r="D12" s="192"/>
      <c r="E12" s="192"/>
      <c r="F12" s="192"/>
      <c r="G12" s="192"/>
      <c r="H12" s="192"/>
      <c r="I12" s="192"/>
      <c r="J12" s="192"/>
      <c r="K12" s="192"/>
      <c r="L12" s="192"/>
      <c r="M12" s="147" t="s">
        <v>156</v>
      </c>
    </row>
    <row r="13" spans="1:13" ht="63.95" customHeight="1" x14ac:dyDescent="0.25">
      <c r="A13" s="100" t="s">
        <v>160</v>
      </c>
      <c r="B13" s="190" t="s">
        <v>151</v>
      </c>
      <c r="C13" s="190"/>
      <c r="D13" s="190"/>
      <c r="E13" s="190"/>
      <c r="F13" s="190"/>
      <c r="G13" s="190"/>
      <c r="H13" s="190"/>
      <c r="I13" s="190"/>
      <c r="J13" s="190"/>
      <c r="K13" s="190"/>
      <c r="L13" s="190"/>
      <c r="M13" s="148" t="s">
        <v>155</v>
      </c>
    </row>
    <row r="14" spans="1:13" ht="57.95" customHeight="1" x14ac:dyDescent="0.25">
      <c r="A14" s="97" t="s">
        <v>161</v>
      </c>
      <c r="B14" s="192" t="s">
        <v>167</v>
      </c>
      <c r="C14" s="192"/>
      <c r="D14" s="192"/>
      <c r="E14" s="192"/>
      <c r="F14" s="192"/>
      <c r="G14" s="192"/>
      <c r="H14" s="192"/>
      <c r="I14" s="192"/>
      <c r="J14" s="192"/>
      <c r="K14" s="192"/>
      <c r="L14" s="192"/>
      <c r="M14" s="108" t="s">
        <v>157</v>
      </c>
    </row>
    <row r="15" spans="1:13" ht="15.75" thickBot="1" x14ac:dyDescent="0.3">
      <c r="I15" s="203" t="s">
        <v>178</v>
      </c>
      <c r="J15" s="204"/>
      <c r="K15" s="204"/>
      <c r="L15" s="205"/>
      <c r="M15" s="105">
        <f>M7+M8+M11</f>
        <v>8153000</v>
      </c>
    </row>
    <row r="16" spans="1:13" s="44" customFormat="1" x14ac:dyDescent="0.25">
      <c r="J16" s="102"/>
      <c r="K16" s="102"/>
      <c r="L16" s="102"/>
      <c r="M16" s="106"/>
    </row>
    <row r="17" spans="1:13" ht="48.75" customHeight="1" x14ac:dyDescent="0.25">
      <c r="A17" s="189" t="s">
        <v>168</v>
      </c>
      <c r="B17" s="189"/>
      <c r="C17" s="189"/>
      <c r="D17" s="189"/>
      <c r="E17" s="189"/>
      <c r="F17" s="189"/>
      <c r="G17" s="189"/>
      <c r="H17" s="189"/>
      <c r="I17" s="189"/>
      <c r="J17" s="189"/>
      <c r="K17" s="189"/>
      <c r="L17" s="189"/>
      <c r="M17" s="189"/>
    </row>
    <row r="18" spans="1:13" ht="30" customHeight="1" x14ac:dyDescent="0.25">
      <c r="A18" s="166"/>
      <c r="B18" s="166"/>
      <c r="C18" s="166"/>
      <c r="D18" s="166"/>
      <c r="E18" s="166"/>
      <c r="F18" s="166"/>
      <c r="G18" s="166"/>
      <c r="H18" s="166"/>
      <c r="I18" s="166"/>
      <c r="J18" s="166"/>
      <c r="K18" s="166"/>
      <c r="L18" s="166"/>
      <c r="M18" s="166"/>
    </row>
    <row r="20" spans="1:13" ht="15.75" x14ac:dyDescent="0.25">
      <c r="A20" s="187"/>
      <c r="B20" s="187"/>
      <c r="C20" s="187"/>
      <c r="D20" s="187"/>
      <c r="E20" s="187"/>
      <c r="F20" s="187"/>
      <c r="G20" s="187"/>
      <c r="H20" s="187"/>
      <c r="I20" s="187"/>
      <c r="J20" s="187"/>
      <c r="K20" s="187"/>
      <c r="L20" s="187"/>
      <c r="M20" s="187"/>
    </row>
    <row r="21" spans="1:13" x14ac:dyDescent="0.25">
      <c r="A21" s="166"/>
      <c r="B21" s="166"/>
      <c r="C21" s="166"/>
      <c r="D21" s="166"/>
      <c r="E21" s="166"/>
      <c r="F21" s="166"/>
      <c r="G21" s="166"/>
      <c r="H21" s="166"/>
      <c r="I21" s="166"/>
      <c r="J21" s="166"/>
      <c r="K21" s="166"/>
      <c r="L21" s="166"/>
      <c r="M21" s="166"/>
    </row>
    <row r="22" spans="1:13" x14ac:dyDescent="0.25">
      <c r="A22" s="188"/>
      <c r="B22" s="188"/>
      <c r="C22" s="188"/>
      <c r="D22" s="188"/>
      <c r="E22" s="188"/>
      <c r="F22" s="188"/>
      <c r="G22" s="188"/>
      <c r="H22" s="188"/>
      <c r="I22" s="188"/>
      <c r="J22" s="188"/>
      <c r="K22" s="188"/>
      <c r="L22" s="188"/>
      <c r="M22" s="188"/>
    </row>
  </sheetData>
  <mergeCells count="16">
    <mergeCell ref="I15:L15"/>
    <mergeCell ref="B13:L13"/>
    <mergeCell ref="A5:M5"/>
    <mergeCell ref="B9:L9"/>
    <mergeCell ref="B14:L14"/>
    <mergeCell ref="B11:L11"/>
    <mergeCell ref="B6:L6"/>
    <mergeCell ref="B7:L7"/>
    <mergeCell ref="B8:L8"/>
    <mergeCell ref="B10:L10"/>
    <mergeCell ref="B12:L12"/>
    <mergeCell ref="A20:M20"/>
    <mergeCell ref="A21:M21"/>
    <mergeCell ref="A22:M22"/>
    <mergeCell ref="A17:M17"/>
    <mergeCell ref="A18:M18"/>
  </mergeCells>
  <printOptions horizontalCentered="1"/>
  <pageMargins left="0.7" right="0.7" top="0.75" bottom="0.75" header="0.3" footer="0.3"/>
  <pageSetup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47"/>
  <sheetViews>
    <sheetView zoomScaleNormal="100" workbookViewId="0">
      <selection activeCell="D33" sqref="D33"/>
    </sheetView>
  </sheetViews>
  <sheetFormatPr defaultRowHeight="15" x14ac:dyDescent="0.25"/>
  <cols>
    <col min="1" max="1" width="28.85546875" customWidth="1"/>
    <col min="2" max="3" width="24.140625" style="1" customWidth="1"/>
    <col min="4" max="18" width="15.28515625" style="1" bestFit="1" customWidth="1"/>
    <col min="19" max="19" width="19.5703125" style="1" bestFit="1" customWidth="1"/>
    <col min="20" max="20" width="18.140625" style="1" customWidth="1"/>
    <col min="21" max="22" width="18.140625" customWidth="1"/>
    <col min="23" max="23" width="17.28515625" bestFit="1" customWidth="1"/>
  </cols>
  <sheetData>
    <row r="2" spans="1:20" s="40" customFormat="1" ht="15.75" x14ac:dyDescent="0.25">
      <c r="A2" s="40" t="s">
        <v>112</v>
      </c>
      <c r="B2" s="42"/>
      <c r="C2" s="42"/>
      <c r="D2" s="42"/>
      <c r="E2" s="42"/>
      <c r="F2" s="42"/>
      <c r="G2" s="42"/>
      <c r="H2" s="42"/>
      <c r="I2" s="42"/>
      <c r="J2" s="42"/>
      <c r="K2" s="42"/>
      <c r="L2" s="42"/>
      <c r="M2" s="42"/>
      <c r="N2" s="42"/>
      <c r="O2" s="42"/>
      <c r="P2" s="42"/>
      <c r="Q2" s="42"/>
      <c r="R2" s="42"/>
      <c r="S2" s="42"/>
      <c r="T2" s="42"/>
    </row>
    <row r="4" spans="1:20" x14ac:dyDescent="0.25">
      <c r="A4" s="128" t="s">
        <v>19</v>
      </c>
    </row>
    <row r="5" spans="1:20" s="49" customFormat="1" x14ac:dyDescent="0.25">
      <c r="B5" s="112" t="s">
        <v>20</v>
      </c>
      <c r="C5" s="113">
        <v>2021</v>
      </c>
      <c r="D5" s="113">
        <v>2022</v>
      </c>
      <c r="E5" s="113">
        <v>2023</v>
      </c>
      <c r="F5" s="113">
        <v>2024</v>
      </c>
      <c r="G5" s="113">
        <v>2025</v>
      </c>
      <c r="H5" s="113">
        <v>2026</v>
      </c>
      <c r="I5" s="113">
        <v>2027</v>
      </c>
      <c r="J5" s="113">
        <v>2028</v>
      </c>
      <c r="K5" s="113">
        <v>2029</v>
      </c>
      <c r="L5" s="113">
        <v>2030</v>
      </c>
      <c r="M5" s="113">
        <v>2031</v>
      </c>
      <c r="N5" s="113">
        <v>2032</v>
      </c>
      <c r="O5" s="113">
        <v>2033</v>
      </c>
      <c r="P5" s="113">
        <v>2034</v>
      </c>
      <c r="Q5" s="113">
        <v>2035</v>
      </c>
      <c r="R5" s="114"/>
      <c r="S5" s="114"/>
      <c r="T5" s="114"/>
    </row>
    <row r="6" spans="1:20" s="2" customFormat="1" x14ac:dyDescent="0.25">
      <c r="B6" s="3" t="s">
        <v>0</v>
      </c>
      <c r="C6" s="3" t="s">
        <v>1</v>
      </c>
      <c r="D6" s="3" t="s">
        <v>2</v>
      </c>
      <c r="E6" s="3" t="s">
        <v>3</v>
      </c>
      <c r="F6" s="3" t="s">
        <v>4</v>
      </c>
      <c r="G6" s="3" t="s">
        <v>5</v>
      </c>
      <c r="H6" s="3" t="s">
        <v>6</v>
      </c>
      <c r="I6" s="3" t="s">
        <v>7</v>
      </c>
      <c r="J6" s="3" t="s">
        <v>8</v>
      </c>
      <c r="K6" s="3" t="s">
        <v>9</v>
      </c>
      <c r="L6" s="3" t="s">
        <v>10</v>
      </c>
      <c r="M6" s="3" t="s">
        <v>11</v>
      </c>
      <c r="N6" s="3" t="s">
        <v>12</v>
      </c>
      <c r="O6" s="3" t="s">
        <v>13</v>
      </c>
      <c r="P6" s="4" t="s">
        <v>14</v>
      </c>
      <c r="Q6" s="4" t="s">
        <v>15</v>
      </c>
      <c r="R6" s="3" t="s">
        <v>17</v>
      </c>
      <c r="S6" s="3" t="s">
        <v>18</v>
      </c>
    </row>
    <row r="7" spans="1:20" x14ac:dyDescent="0.25">
      <c r="A7" s="101" t="s">
        <v>16</v>
      </c>
      <c r="B7" s="1">
        <v>500000</v>
      </c>
      <c r="C7" s="1">
        <v>500000</v>
      </c>
      <c r="D7" s="1">
        <v>500000</v>
      </c>
      <c r="E7" s="1">
        <v>500000</v>
      </c>
      <c r="F7" s="1">
        <v>500000</v>
      </c>
      <c r="G7" s="1">
        <v>600000</v>
      </c>
      <c r="H7" s="1">
        <v>600000</v>
      </c>
      <c r="I7" s="1">
        <v>600000</v>
      </c>
      <c r="J7" s="1">
        <v>600000</v>
      </c>
      <c r="K7" s="1">
        <v>600000</v>
      </c>
      <c r="L7" s="1">
        <v>600000</v>
      </c>
      <c r="M7" s="1">
        <v>380000</v>
      </c>
      <c r="N7" s="1">
        <v>380000</v>
      </c>
      <c r="O7" s="1">
        <v>380000</v>
      </c>
      <c r="P7" s="1">
        <v>380000</v>
      </c>
      <c r="Q7" s="1">
        <v>380000</v>
      </c>
      <c r="R7" s="1">
        <f>SUM(B7:Q7)</f>
        <v>8000000</v>
      </c>
      <c r="S7" s="1">
        <v>8000000</v>
      </c>
    </row>
    <row r="8" spans="1:20" s="116" customFormat="1" x14ac:dyDescent="0.25">
      <c r="A8" s="101" t="s">
        <v>21</v>
      </c>
      <c r="B8" s="116">
        <f>600*B7</f>
        <v>300000000</v>
      </c>
      <c r="C8" s="116">
        <f t="shared" ref="C8:Q8" si="0">600*C7</f>
        <v>300000000</v>
      </c>
      <c r="D8" s="116">
        <f t="shared" si="0"/>
        <v>300000000</v>
      </c>
      <c r="E8" s="116">
        <f t="shared" si="0"/>
        <v>300000000</v>
      </c>
      <c r="F8" s="116">
        <f t="shared" si="0"/>
        <v>300000000</v>
      </c>
      <c r="G8" s="116">
        <f t="shared" si="0"/>
        <v>360000000</v>
      </c>
      <c r="H8" s="116">
        <f t="shared" si="0"/>
        <v>360000000</v>
      </c>
      <c r="I8" s="116">
        <f t="shared" si="0"/>
        <v>360000000</v>
      </c>
      <c r="J8" s="116">
        <f t="shared" si="0"/>
        <v>360000000</v>
      </c>
      <c r="K8" s="116">
        <f t="shared" si="0"/>
        <v>360000000</v>
      </c>
      <c r="L8" s="116">
        <f t="shared" si="0"/>
        <v>360000000</v>
      </c>
      <c r="M8" s="116">
        <f t="shared" si="0"/>
        <v>228000000</v>
      </c>
      <c r="N8" s="116">
        <f t="shared" si="0"/>
        <v>228000000</v>
      </c>
      <c r="O8" s="116">
        <f t="shared" si="0"/>
        <v>228000000</v>
      </c>
      <c r="P8" s="116">
        <f t="shared" si="0"/>
        <v>228000000</v>
      </c>
      <c r="Q8" s="116">
        <f t="shared" si="0"/>
        <v>228000000</v>
      </c>
      <c r="R8" s="116">
        <f>SUM(B8:Q8)</f>
        <v>4800000000</v>
      </c>
    </row>
    <row r="9" spans="1:20" x14ac:dyDescent="0.25">
      <c r="A9" s="101" t="s">
        <v>22</v>
      </c>
      <c r="B9" s="1">
        <v>2500</v>
      </c>
      <c r="C9" s="1">
        <f>ROUND(C7/160,1)</f>
        <v>3125</v>
      </c>
      <c r="D9" s="1">
        <f t="shared" ref="D9:Q9" si="1">ROUND(D7/160,1)</f>
        <v>3125</v>
      </c>
      <c r="E9" s="1">
        <f t="shared" si="1"/>
        <v>3125</v>
      </c>
      <c r="F9" s="1">
        <f t="shared" si="1"/>
        <v>3125</v>
      </c>
      <c r="G9" s="1">
        <f t="shared" si="1"/>
        <v>3750</v>
      </c>
      <c r="H9" s="1">
        <f t="shared" si="1"/>
        <v>3750</v>
      </c>
      <c r="I9" s="1">
        <f t="shared" si="1"/>
        <v>3750</v>
      </c>
      <c r="J9" s="1">
        <f t="shared" si="1"/>
        <v>3750</v>
      </c>
      <c r="K9" s="1">
        <f t="shared" si="1"/>
        <v>3750</v>
      </c>
      <c r="L9" s="1">
        <f t="shared" si="1"/>
        <v>3750</v>
      </c>
      <c r="M9" s="1">
        <f t="shared" si="1"/>
        <v>2375</v>
      </c>
      <c r="N9" s="1">
        <f t="shared" si="1"/>
        <v>2375</v>
      </c>
      <c r="O9" s="1">
        <f t="shared" si="1"/>
        <v>2375</v>
      </c>
      <c r="P9" s="1">
        <f t="shared" si="1"/>
        <v>2375</v>
      </c>
      <c r="Q9" s="1">
        <f t="shared" si="1"/>
        <v>2375</v>
      </c>
      <c r="R9" s="1">
        <f>SUM(B9:Q9)</f>
        <v>49375</v>
      </c>
      <c r="S9" s="1">
        <v>50000</v>
      </c>
    </row>
    <row r="10" spans="1:20" s="116" customFormat="1" x14ac:dyDescent="0.25">
      <c r="A10" s="101" t="s">
        <v>23</v>
      </c>
      <c r="B10" s="116">
        <f>B9*100000</f>
        <v>250000000</v>
      </c>
      <c r="C10" s="116">
        <f t="shared" ref="C10:Q10" si="2">C9*100000</f>
        <v>312500000</v>
      </c>
      <c r="D10" s="116">
        <f t="shared" si="2"/>
        <v>312500000</v>
      </c>
      <c r="E10" s="116">
        <f t="shared" si="2"/>
        <v>312500000</v>
      </c>
      <c r="F10" s="116">
        <f t="shared" si="2"/>
        <v>312500000</v>
      </c>
      <c r="G10" s="116">
        <f t="shared" si="2"/>
        <v>375000000</v>
      </c>
      <c r="H10" s="116">
        <f t="shared" si="2"/>
        <v>375000000</v>
      </c>
      <c r="I10" s="116">
        <f t="shared" si="2"/>
        <v>375000000</v>
      </c>
      <c r="J10" s="116">
        <f t="shared" si="2"/>
        <v>375000000</v>
      </c>
      <c r="K10" s="116">
        <f t="shared" si="2"/>
        <v>375000000</v>
      </c>
      <c r="L10" s="116">
        <f t="shared" si="2"/>
        <v>375000000</v>
      </c>
      <c r="M10" s="116">
        <f t="shared" si="2"/>
        <v>237500000</v>
      </c>
      <c r="N10" s="116">
        <f t="shared" si="2"/>
        <v>237500000</v>
      </c>
      <c r="O10" s="116">
        <f t="shared" si="2"/>
        <v>237500000</v>
      </c>
      <c r="P10" s="116">
        <f t="shared" si="2"/>
        <v>237500000</v>
      </c>
      <c r="Q10" s="116">
        <f t="shared" si="2"/>
        <v>237500000</v>
      </c>
      <c r="R10" s="116">
        <f>R9*100000</f>
        <v>4937500000</v>
      </c>
    </row>
    <row r="13" spans="1:20" x14ac:dyDescent="0.25">
      <c r="A13" s="128" t="s">
        <v>24</v>
      </c>
    </row>
    <row r="14" spans="1:20" s="49" customFormat="1" x14ac:dyDescent="0.25">
      <c r="B14" s="112" t="s">
        <v>20</v>
      </c>
      <c r="C14" s="113">
        <v>2021</v>
      </c>
      <c r="D14" s="113">
        <v>2022</v>
      </c>
      <c r="E14" s="113">
        <v>2023</v>
      </c>
      <c r="F14" s="113">
        <v>2024</v>
      </c>
      <c r="G14" s="113">
        <v>2025</v>
      </c>
      <c r="H14" s="113">
        <v>2026</v>
      </c>
      <c r="I14" s="113">
        <v>2027</v>
      </c>
      <c r="J14" s="113">
        <v>2028</v>
      </c>
      <c r="K14" s="113">
        <v>2029</v>
      </c>
      <c r="L14" s="113">
        <v>2030</v>
      </c>
      <c r="M14" s="113">
        <v>2031</v>
      </c>
      <c r="N14" s="113">
        <v>2032</v>
      </c>
      <c r="O14" s="113">
        <v>2033</v>
      </c>
      <c r="P14" s="113">
        <v>2034</v>
      </c>
      <c r="Q14" s="113">
        <v>2035</v>
      </c>
      <c r="R14" s="114"/>
      <c r="S14" s="114"/>
      <c r="T14" s="114"/>
    </row>
    <row r="15" spans="1:20" x14ac:dyDescent="0.25">
      <c r="A15" s="2"/>
      <c r="B15" s="3" t="s">
        <v>0</v>
      </c>
      <c r="C15" s="3" t="s">
        <v>1</v>
      </c>
      <c r="D15" s="3" t="s">
        <v>2</v>
      </c>
      <c r="E15" s="3" t="s">
        <v>3</v>
      </c>
      <c r="F15" s="3" t="s">
        <v>4</v>
      </c>
      <c r="G15" s="3" t="s">
        <v>5</v>
      </c>
      <c r="H15" s="3" t="s">
        <v>6</v>
      </c>
      <c r="I15" s="3" t="s">
        <v>7</v>
      </c>
      <c r="J15" s="3" t="s">
        <v>8</v>
      </c>
      <c r="K15" s="3" t="s">
        <v>9</v>
      </c>
      <c r="L15" s="3" t="s">
        <v>10</v>
      </c>
      <c r="M15" s="3" t="s">
        <v>11</v>
      </c>
      <c r="N15" s="3" t="s">
        <v>12</v>
      </c>
      <c r="O15" s="3" t="s">
        <v>13</v>
      </c>
      <c r="P15" s="4" t="s">
        <v>14</v>
      </c>
      <c r="Q15" s="4" t="s">
        <v>15</v>
      </c>
      <c r="R15" s="3"/>
      <c r="S15" s="3"/>
    </row>
    <row r="16" spans="1:20" x14ac:dyDescent="0.25">
      <c r="A16" s="101" t="s">
        <v>16</v>
      </c>
      <c r="B16" s="1">
        <v>500000</v>
      </c>
      <c r="C16" s="1">
        <f>B16+C7</f>
        <v>1000000</v>
      </c>
      <c r="D16" s="1">
        <f t="shared" ref="D16:Q19" si="3">C16+D7</f>
        <v>1500000</v>
      </c>
      <c r="E16" s="1">
        <f t="shared" si="3"/>
        <v>2000000</v>
      </c>
      <c r="F16" s="1">
        <f t="shared" si="3"/>
        <v>2500000</v>
      </c>
      <c r="G16" s="1">
        <f t="shared" si="3"/>
        <v>3100000</v>
      </c>
      <c r="H16" s="1">
        <f t="shared" si="3"/>
        <v>3700000</v>
      </c>
      <c r="I16" s="1">
        <f t="shared" si="3"/>
        <v>4300000</v>
      </c>
      <c r="J16" s="1">
        <f t="shared" si="3"/>
        <v>4900000</v>
      </c>
      <c r="K16" s="1">
        <f t="shared" si="3"/>
        <v>5500000</v>
      </c>
      <c r="L16" s="1">
        <f t="shared" si="3"/>
        <v>6100000</v>
      </c>
      <c r="M16" s="1">
        <f t="shared" si="3"/>
        <v>6480000</v>
      </c>
      <c r="N16" s="1">
        <f t="shared" si="3"/>
        <v>6860000</v>
      </c>
      <c r="O16" s="1">
        <f t="shared" si="3"/>
        <v>7240000</v>
      </c>
      <c r="P16" s="1">
        <f t="shared" si="3"/>
        <v>7620000</v>
      </c>
      <c r="Q16" s="1">
        <f t="shared" si="3"/>
        <v>8000000</v>
      </c>
    </row>
    <row r="17" spans="1:25" s="116" customFormat="1" x14ac:dyDescent="0.25">
      <c r="A17" s="101" t="s">
        <v>21</v>
      </c>
      <c r="B17" s="116">
        <f>600*B16</f>
        <v>300000000</v>
      </c>
      <c r="C17" s="116">
        <f>B17+C8</f>
        <v>600000000</v>
      </c>
      <c r="D17" s="116">
        <f t="shared" si="3"/>
        <v>900000000</v>
      </c>
      <c r="E17" s="116">
        <f t="shared" si="3"/>
        <v>1200000000</v>
      </c>
      <c r="F17" s="116">
        <f t="shared" si="3"/>
        <v>1500000000</v>
      </c>
      <c r="G17" s="116">
        <f t="shared" si="3"/>
        <v>1860000000</v>
      </c>
      <c r="H17" s="116">
        <f t="shared" si="3"/>
        <v>2220000000</v>
      </c>
      <c r="I17" s="116">
        <f t="shared" si="3"/>
        <v>2580000000</v>
      </c>
      <c r="J17" s="116">
        <f t="shared" si="3"/>
        <v>2940000000</v>
      </c>
      <c r="K17" s="116">
        <f t="shared" si="3"/>
        <v>3300000000</v>
      </c>
      <c r="L17" s="116">
        <f t="shared" si="3"/>
        <v>3660000000</v>
      </c>
      <c r="M17" s="116">
        <f t="shared" si="3"/>
        <v>3888000000</v>
      </c>
      <c r="N17" s="116">
        <f t="shared" si="3"/>
        <v>4116000000</v>
      </c>
      <c r="O17" s="116">
        <f t="shared" si="3"/>
        <v>4344000000</v>
      </c>
      <c r="P17" s="116">
        <f t="shared" si="3"/>
        <v>4572000000</v>
      </c>
      <c r="Q17" s="116">
        <f t="shared" si="3"/>
        <v>4800000000</v>
      </c>
    </row>
    <row r="18" spans="1:25" x14ac:dyDescent="0.25">
      <c r="A18" s="101" t="s">
        <v>22</v>
      </c>
      <c r="B18" s="1">
        <v>2500</v>
      </c>
      <c r="C18" s="1">
        <f>B18+C9</f>
        <v>5625</v>
      </c>
      <c r="D18" s="1">
        <f t="shared" si="3"/>
        <v>8750</v>
      </c>
      <c r="E18" s="1">
        <f t="shared" si="3"/>
        <v>11875</v>
      </c>
      <c r="F18" s="1">
        <f t="shared" si="3"/>
        <v>15000</v>
      </c>
      <c r="G18" s="1">
        <f t="shared" si="3"/>
        <v>18750</v>
      </c>
      <c r="H18" s="1">
        <f t="shared" si="3"/>
        <v>22500</v>
      </c>
      <c r="I18" s="1">
        <f t="shared" si="3"/>
        <v>26250</v>
      </c>
      <c r="J18" s="1">
        <f t="shared" si="3"/>
        <v>30000</v>
      </c>
      <c r="K18" s="1">
        <f t="shared" si="3"/>
        <v>33750</v>
      </c>
      <c r="L18" s="1">
        <f t="shared" si="3"/>
        <v>37500</v>
      </c>
      <c r="M18" s="1">
        <f t="shared" si="3"/>
        <v>39875</v>
      </c>
      <c r="N18" s="1">
        <f t="shared" si="3"/>
        <v>42250</v>
      </c>
      <c r="O18" s="1">
        <f t="shared" si="3"/>
        <v>44625</v>
      </c>
      <c r="P18" s="1">
        <f t="shared" si="3"/>
        <v>47000</v>
      </c>
      <c r="Q18" s="1">
        <f t="shared" si="3"/>
        <v>49375</v>
      </c>
    </row>
    <row r="19" spans="1:25" s="116" customFormat="1" x14ac:dyDescent="0.25">
      <c r="A19" s="101" t="s">
        <v>23</v>
      </c>
      <c r="B19" s="116">
        <f>B18*100000</f>
        <v>250000000</v>
      </c>
      <c r="C19" s="116">
        <f>B19+C10</f>
        <v>562500000</v>
      </c>
      <c r="D19" s="116">
        <f t="shared" si="3"/>
        <v>875000000</v>
      </c>
      <c r="E19" s="116">
        <f t="shared" si="3"/>
        <v>1187500000</v>
      </c>
      <c r="F19" s="116">
        <f t="shared" si="3"/>
        <v>1500000000</v>
      </c>
      <c r="G19" s="116">
        <f t="shared" si="3"/>
        <v>1875000000</v>
      </c>
      <c r="H19" s="116">
        <f t="shared" si="3"/>
        <v>2250000000</v>
      </c>
      <c r="I19" s="116">
        <f t="shared" si="3"/>
        <v>2625000000</v>
      </c>
      <c r="J19" s="116">
        <f t="shared" si="3"/>
        <v>3000000000</v>
      </c>
      <c r="K19" s="116">
        <f t="shared" si="3"/>
        <v>3375000000</v>
      </c>
      <c r="L19" s="116">
        <f t="shared" si="3"/>
        <v>3750000000</v>
      </c>
      <c r="M19" s="116">
        <f t="shared" si="3"/>
        <v>3987500000</v>
      </c>
      <c r="N19" s="116">
        <f t="shared" si="3"/>
        <v>4225000000</v>
      </c>
      <c r="O19" s="116">
        <f t="shared" si="3"/>
        <v>4462500000</v>
      </c>
      <c r="P19" s="116">
        <f t="shared" si="3"/>
        <v>4700000000</v>
      </c>
      <c r="Q19" s="116">
        <f t="shared" si="3"/>
        <v>4937500000</v>
      </c>
    </row>
    <row r="24" spans="1:25" x14ac:dyDescent="0.25">
      <c r="A24" s="128" t="s">
        <v>25</v>
      </c>
    </row>
    <row r="25" spans="1:25" s="49" customFormat="1" x14ac:dyDescent="0.25">
      <c r="B25" s="113">
        <v>2019</v>
      </c>
      <c r="C25" s="113">
        <v>2020</v>
      </c>
      <c r="D25" s="113">
        <v>2021</v>
      </c>
      <c r="E25" s="113">
        <v>2022</v>
      </c>
      <c r="F25" s="113">
        <v>2023</v>
      </c>
      <c r="G25" s="113">
        <v>2024</v>
      </c>
      <c r="H25" s="113">
        <v>2025</v>
      </c>
      <c r="I25" s="113">
        <v>2026</v>
      </c>
      <c r="J25" s="113">
        <v>2027</v>
      </c>
      <c r="K25" s="113">
        <v>2028</v>
      </c>
      <c r="L25" s="113">
        <v>2029</v>
      </c>
      <c r="M25" s="113">
        <v>2030</v>
      </c>
      <c r="N25" s="113">
        <v>2031</v>
      </c>
      <c r="O25" s="113">
        <v>2032</v>
      </c>
      <c r="P25" s="113">
        <v>2033</v>
      </c>
      <c r="Q25" s="113">
        <v>2034</v>
      </c>
      <c r="R25" s="113">
        <v>2035</v>
      </c>
      <c r="S25" s="113">
        <v>2036</v>
      </c>
      <c r="T25" s="113">
        <v>2037</v>
      </c>
      <c r="U25" s="113">
        <v>2038</v>
      </c>
      <c r="V25" s="113">
        <v>2039</v>
      </c>
      <c r="W25" s="156" t="s">
        <v>125</v>
      </c>
      <c r="X25" s="113"/>
      <c r="Y25" s="113"/>
    </row>
    <row r="26" spans="1:25" x14ac:dyDescent="0.25">
      <c r="A26" t="s">
        <v>26</v>
      </c>
      <c r="B26" s="9">
        <f>(2500/2)*5250</f>
        <v>6562500</v>
      </c>
      <c r="C26" s="9">
        <f>(2500/2)*5250</f>
        <v>6562500</v>
      </c>
      <c r="D26" s="9">
        <f>(2500/2)*5250</f>
        <v>6562500</v>
      </c>
      <c r="E26" s="9">
        <f>(2500/2)*5250</f>
        <v>6562500</v>
      </c>
      <c r="F26" s="9">
        <f>(2500/2)*5250</f>
        <v>6562500</v>
      </c>
      <c r="G26" s="9"/>
      <c r="H26" s="9"/>
      <c r="I26" s="9"/>
      <c r="J26" s="9"/>
      <c r="K26" s="9"/>
      <c r="L26" s="9"/>
      <c r="M26" s="9"/>
      <c r="N26" s="9"/>
      <c r="O26" s="9"/>
      <c r="P26" s="9"/>
      <c r="Q26" s="9"/>
      <c r="R26" s="9"/>
      <c r="S26" s="9"/>
      <c r="T26" s="9"/>
      <c r="U26" s="9"/>
      <c r="V26" s="9"/>
    </row>
    <row r="27" spans="1:25" x14ac:dyDescent="0.25">
      <c r="A27" t="s">
        <v>27</v>
      </c>
      <c r="B27" s="9"/>
      <c r="C27" s="9">
        <f>(2500/2)*5250</f>
        <v>6562500</v>
      </c>
      <c r="D27" s="9">
        <f>(2500/2)*5250</f>
        <v>6562500</v>
      </c>
      <c r="E27" s="9">
        <f>(2500/2)*5250</f>
        <v>6562500</v>
      </c>
      <c r="F27" s="9">
        <f>(2500/2)*5250</f>
        <v>6562500</v>
      </c>
      <c r="G27" s="9">
        <f>(2500/2)*5250</f>
        <v>6562500</v>
      </c>
      <c r="H27" s="9"/>
      <c r="I27" s="9"/>
      <c r="J27" s="9"/>
      <c r="K27" s="9"/>
      <c r="L27" s="9"/>
      <c r="M27" s="9"/>
      <c r="N27" s="9"/>
      <c r="O27" s="9"/>
      <c r="P27" s="9"/>
      <c r="Q27" s="9"/>
      <c r="R27" s="9"/>
      <c r="S27" s="9"/>
      <c r="T27" s="9"/>
      <c r="U27" s="9"/>
      <c r="V27" s="9"/>
    </row>
    <row r="28" spans="1:25" x14ac:dyDescent="0.25">
      <c r="A28" t="s">
        <v>28</v>
      </c>
      <c r="B28" s="9"/>
      <c r="C28" s="9"/>
      <c r="D28" s="9">
        <f>$C$9*5250</f>
        <v>16406250</v>
      </c>
      <c r="E28" s="9">
        <f t="shared" ref="E28:H28" si="4">$C$9*5250</f>
        <v>16406250</v>
      </c>
      <c r="F28" s="9">
        <f t="shared" si="4"/>
        <v>16406250</v>
      </c>
      <c r="G28" s="9">
        <f t="shared" si="4"/>
        <v>16406250</v>
      </c>
      <c r="H28" s="9">
        <f t="shared" si="4"/>
        <v>16406250</v>
      </c>
      <c r="I28" s="9"/>
      <c r="J28" s="9"/>
      <c r="K28" s="9"/>
      <c r="L28" s="9"/>
      <c r="M28" s="9"/>
      <c r="N28" s="9"/>
      <c r="O28" s="9"/>
      <c r="P28" s="9"/>
      <c r="Q28" s="9"/>
      <c r="R28" s="9"/>
      <c r="S28" s="9"/>
      <c r="T28" s="9"/>
      <c r="U28" s="9"/>
      <c r="V28" s="9"/>
    </row>
    <row r="29" spans="1:25" x14ac:dyDescent="0.25">
      <c r="A29" t="s">
        <v>29</v>
      </c>
      <c r="B29" s="9"/>
      <c r="C29" s="9"/>
      <c r="D29" s="9"/>
      <c r="E29" s="9">
        <f>$D$9*5250</f>
        <v>16406250</v>
      </c>
      <c r="F29" s="9">
        <f>$D$9*5250</f>
        <v>16406250</v>
      </c>
      <c r="G29" s="9">
        <f>$D$9*5250</f>
        <v>16406250</v>
      </c>
      <c r="H29" s="9">
        <f>$D$9*5250</f>
        <v>16406250</v>
      </c>
      <c r="I29" s="9">
        <f>$D$9*5250</f>
        <v>16406250</v>
      </c>
      <c r="J29" s="9"/>
      <c r="K29" s="9"/>
      <c r="L29" s="9"/>
      <c r="M29" s="9"/>
      <c r="N29" s="9"/>
      <c r="O29" s="9"/>
      <c r="P29" s="9"/>
      <c r="Q29" s="9"/>
      <c r="R29" s="9"/>
      <c r="S29" s="9"/>
      <c r="T29" s="9"/>
      <c r="U29" s="9"/>
      <c r="V29" s="9"/>
    </row>
    <row r="30" spans="1:25" x14ac:dyDescent="0.25">
      <c r="A30" t="s">
        <v>30</v>
      </c>
      <c r="B30" s="9"/>
      <c r="C30" s="9"/>
      <c r="D30" s="9"/>
      <c r="E30" s="9"/>
      <c r="F30" s="9">
        <f>$E$9*5250</f>
        <v>16406250</v>
      </c>
      <c r="G30" s="9">
        <f>$E$9*5250</f>
        <v>16406250</v>
      </c>
      <c r="H30" s="9">
        <f>$E$9*5250</f>
        <v>16406250</v>
      </c>
      <c r="I30" s="9">
        <f>$E$9*5250</f>
        <v>16406250</v>
      </c>
      <c r="J30" s="9">
        <f>$E$9*5250</f>
        <v>16406250</v>
      </c>
      <c r="K30" s="9"/>
      <c r="L30" s="9"/>
      <c r="M30" s="9"/>
      <c r="N30" s="9"/>
      <c r="O30" s="9"/>
      <c r="P30" s="9"/>
      <c r="Q30" s="9"/>
      <c r="R30" s="9"/>
      <c r="S30" s="9"/>
      <c r="T30" s="9"/>
      <c r="U30" s="9"/>
      <c r="V30" s="9"/>
    </row>
    <row r="31" spans="1:25" x14ac:dyDescent="0.25">
      <c r="A31" t="s">
        <v>31</v>
      </c>
      <c r="B31" s="9"/>
      <c r="C31" s="9"/>
      <c r="D31" s="9"/>
      <c r="E31" s="9"/>
      <c r="F31" s="9"/>
      <c r="G31" s="9">
        <f>$F$9*5250</f>
        <v>16406250</v>
      </c>
      <c r="H31" s="9">
        <f>$F$9*5250</f>
        <v>16406250</v>
      </c>
      <c r="I31" s="9">
        <f>$F$9*5250</f>
        <v>16406250</v>
      </c>
      <c r="J31" s="9">
        <f>$F$9*5250</f>
        <v>16406250</v>
      </c>
      <c r="K31" s="9">
        <f>$F$9*5250</f>
        <v>16406250</v>
      </c>
      <c r="L31" s="9"/>
      <c r="M31" s="9"/>
      <c r="N31" s="9"/>
      <c r="O31" s="9"/>
      <c r="P31" s="9"/>
      <c r="Q31" s="9"/>
      <c r="R31" s="9"/>
      <c r="S31" s="9"/>
      <c r="T31" s="9"/>
      <c r="U31" s="9"/>
      <c r="V31" s="9"/>
    </row>
    <row r="32" spans="1:25" x14ac:dyDescent="0.25">
      <c r="A32" t="s">
        <v>32</v>
      </c>
      <c r="B32" s="9"/>
      <c r="C32" s="9"/>
      <c r="D32" s="9"/>
      <c r="E32" s="9"/>
      <c r="F32" s="9"/>
      <c r="G32" s="9"/>
      <c r="H32" s="9">
        <f>$G$9*5250</f>
        <v>19687500</v>
      </c>
      <c r="I32" s="9">
        <f>$G$9*5250</f>
        <v>19687500</v>
      </c>
      <c r="J32" s="9">
        <f>$G$9*5250</f>
        <v>19687500</v>
      </c>
      <c r="K32" s="9">
        <f>$G$9*5250</f>
        <v>19687500</v>
      </c>
      <c r="L32" s="9">
        <f>$G$9*5250</f>
        <v>19687500</v>
      </c>
      <c r="M32" s="9"/>
      <c r="N32" s="9"/>
      <c r="O32" s="9"/>
      <c r="P32" s="9"/>
      <c r="Q32" s="9"/>
      <c r="R32" s="9"/>
      <c r="S32" s="9"/>
      <c r="T32" s="9"/>
      <c r="U32" s="9"/>
      <c r="V32" s="9"/>
    </row>
    <row r="33" spans="1:23" x14ac:dyDescent="0.25">
      <c r="A33" t="s">
        <v>33</v>
      </c>
      <c r="B33" s="9"/>
      <c r="C33" s="9"/>
      <c r="D33" s="9"/>
      <c r="E33" s="9"/>
      <c r="F33" s="9"/>
      <c r="G33" s="9"/>
      <c r="H33" s="9"/>
      <c r="I33" s="9">
        <f>$H$9*5250</f>
        <v>19687500</v>
      </c>
      <c r="J33" s="9">
        <f>$H$9*5250</f>
        <v>19687500</v>
      </c>
      <c r="K33" s="9">
        <f>$H$9*5250</f>
        <v>19687500</v>
      </c>
      <c r="L33" s="9">
        <f>$H$9*5250</f>
        <v>19687500</v>
      </c>
      <c r="M33" s="9">
        <f>$H$9*5250</f>
        <v>19687500</v>
      </c>
      <c r="N33" s="9"/>
      <c r="O33" s="9"/>
      <c r="P33" s="9"/>
      <c r="Q33" s="9"/>
      <c r="R33" s="9"/>
      <c r="S33" s="9"/>
      <c r="T33" s="9"/>
      <c r="U33" s="9"/>
      <c r="V33" s="9"/>
    </row>
    <row r="34" spans="1:23" x14ac:dyDescent="0.25">
      <c r="A34" t="s">
        <v>34</v>
      </c>
      <c r="B34" s="9"/>
      <c r="C34" s="9"/>
      <c r="D34" s="9"/>
      <c r="E34" s="9"/>
      <c r="F34" s="9"/>
      <c r="G34" s="9"/>
      <c r="H34" s="9"/>
      <c r="I34" s="9"/>
      <c r="J34" s="9">
        <f>$I$9*5250</f>
        <v>19687500</v>
      </c>
      <c r="K34" s="9">
        <f>$I$9*5250</f>
        <v>19687500</v>
      </c>
      <c r="L34" s="9">
        <f>$I$9*5250</f>
        <v>19687500</v>
      </c>
      <c r="M34" s="9">
        <f>$I$9*5250</f>
        <v>19687500</v>
      </c>
      <c r="N34" s="9">
        <f>$I$9*5250</f>
        <v>19687500</v>
      </c>
      <c r="O34" s="9"/>
      <c r="P34" s="9"/>
      <c r="Q34" s="9"/>
      <c r="R34" s="9"/>
      <c r="S34" s="9"/>
      <c r="T34" s="9"/>
      <c r="U34" s="9"/>
      <c r="V34" s="9"/>
    </row>
    <row r="35" spans="1:23" x14ac:dyDescent="0.25">
      <c r="A35" t="s">
        <v>35</v>
      </c>
      <c r="B35" s="9"/>
      <c r="C35" s="9"/>
      <c r="D35" s="9"/>
      <c r="E35" s="9"/>
      <c r="F35" s="9"/>
      <c r="G35" s="9"/>
      <c r="H35" s="9"/>
      <c r="I35" s="9"/>
      <c r="J35" s="9"/>
      <c r="K35" s="9">
        <f>$J$9*5250</f>
        <v>19687500</v>
      </c>
      <c r="L35" s="9">
        <f>$J$9*5250</f>
        <v>19687500</v>
      </c>
      <c r="M35" s="9">
        <f>$J$9*5250</f>
        <v>19687500</v>
      </c>
      <c r="N35" s="9">
        <f>$J$9*5250</f>
        <v>19687500</v>
      </c>
      <c r="O35" s="9">
        <f>$J$9*5250</f>
        <v>19687500</v>
      </c>
      <c r="P35" s="9"/>
      <c r="Q35" s="9"/>
      <c r="R35" s="9"/>
      <c r="S35" s="9"/>
      <c r="T35" s="9"/>
      <c r="U35" s="9"/>
      <c r="V35" s="9"/>
    </row>
    <row r="36" spans="1:23" x14ac:dyDescent="0.25">
      <c r="A36" t="s">
        <v>36</v>
      </c>
      <c r="B36" s="9"/>
      <c r="C36" s="9"/>
      <c r="D36" s="9"/>
      <c r="E36" s="9"/>
      <c r="F36" s="9"/>
      <c r="G36" s="9"/>
      <c r="H36" s="9"/>
      <c r="I36" s="9"/>
      <c r="J36" s="9"/>
      <c r="K36" s="9"/>
      <c r="L36" s="9">
        <f>$K$9*5250</f>
        <v>19687500</v>
      </c>
      <c r="M36" s="9">
        <f>$K$9*5250</f>
        <v>19687500</v>
      </c>
      <c r="N36" s="9">
        <f>$K$9*5250</f>
        <v>19687500</v>
      </c>
      <c r="O36" s="9">
        <f>$K$9*5250</f>
        <v>19687500</v>
      </c>
      <c r="P36" s="9">
        <f>$K$9*5250</f>
        <v>19687500</v>
      </c>
      <c r="Q36" s="9"/>
      <c r="R36" s="9"/>
      <c r="S36" s="9"/>
      <c r="T36" s="9"/>
      <c r="U36" s="9"/>
      <c r="V36" s="9"/>
    </row>
    <row r="37" spans="1:23" x14ac:dyDescent="0.25">
      <c r="A37" t="s">
        <v>37</v>
      </c>
      <c r="B37" s="9"/>
      <c r="C37" s="9"/>
      <c r="D37" s="9"/>
      <c r="E37" s="9"/>
      <c r="F37" s="9"/>
      <c r="G37" s="9"/>
      <c r="H37" s="9"/>
      <c r="I37" s="9"/>
      <c r="J37" s="9"/>
      <c r="K37" s="9"/>
      <c r="L37" s="9"/>
      <c r="M37" s="9">
        <f>$L$9*5250</f>
        <v>19687500</v>
      </c>
      <c r="N37" s="9">
        <f>$L$9*5250</f>
        <v>19687500</v>
      </c>
      <c r="O37" s="9">
        <f>$L$9*5250</f>
        <v>19687500</v>
      </c>
      <c r="P37" s="9">
        <f>$L$9*5250</f>
        <v>19687500</v>
      </c>
      <c r="Q37" s="9">
        <f>$L$9*5250</f>
        <v>19687500</v>
      </c>
      <c r="R37" s="9"/>
      <c r="S37" s="9"/>
      <c r="T37" s="9"/>
      <c r="U37" s="9"/>
      <c r="V37" s="9"/>
    </row>
    <row r="38" spans="1:23" x14ac:dyDescent="0.25">
      <c r="A38" t="s">
        <v>38</v>
      </c>
      <c r="B38" s="9"/>
      <c r="C38" s="9"/>
      <c r="D38" s="9"/>
      <c r="E38" s="9"/>
      <c r="F38" s="9"/>
      <c r="G38" s="9"/>
      <c r="H38" s="9"/>
      <c r="I38" s="9"/>
      <c r="J38" s="9"/>
      <c r="K38" s="9"/>
      <c r="L38" s="9"/>
      <c r="M38" s="9"/>
      <c r="N38" s="9">
        <f>$M$9*5250</f>
        <v>12468750</v>
      </c>
      <c r="O38" s="9">
        <f>$M$9*5250</f>
        <v>12468750</v>
      </c>
      <c r="P38" s="9">
        <f>$M$9*5250</f>
        <v>12468750</v>
      </c>
      <c r="Q38" s="9">
        <f>$M$9*5250</f>
        <v>12468750</v>
      </c>
      <c r="R38" s="9">
        <f>$M$9*5250</f>
        <v>12468750</v>
      </c>
      <c r="S38" s="9"/>
      <c r="T38" s="9"/>
      <c r="U38" s="9"/>
      <c r="V38" s="9"/>
    </row>
    <row r="39" spans="1:23" x14ac:dyDescent="0.25">
      <c r="A39" t="s">
        <v>39</v>
      </c>
      <c r="B39" s="9"/>
      <c r="C39" s="9"/>
      <c r="D39" s="9"/>
      <c r="E39" s="9"/>
      <c r="F39" s="9"/>
      <c r="G39" s="9"/>
      <c r="H39" s="9"/>
      <c r="I39" s="9"/>
      <c r="J39" s="9"/>
      <c r="K39" s="9"/>
      <c r="L39" s="9"/>
      <c r="M39" s="9"/>
      <c r="N39" s="9"/>
      <c r="O39" s="9">
        <f>$N$9*5250</f>
        <v>12468750</v>
      </c>
      <c r="P39" s="9">
        <f>$N$9*5250</f>
        <v>12468750</v>
      </c>
      <c r="Q39" s="9">
        <f>$N$9*5250</f>
        <v>12468750</v>
      </c>
      <c r="R39" s="9">
        <f>$N$9*5250</f>
        <v>12468750</v>
      </c>
      <c r="S39" s="9">
        <f>$N$9*5250</f>
        <v>12468750</v>
      </c>
      <c r="T39" s="9"/>
      <c r="U39" s="9"/>
      <c r="V39" s="9"/>
    </row>
    <row r="40" spans="1:23" x14ac:dyDescent="0.25">
      <c r="A40" t="s">
        <v>40</v>
      </c>
      <c r="B40" s="9"/>
      <c r="C40" s="9"/>
      <c r="D40" s="9"/>
      <c r="E40" s="9"/>
      <c r="F40" s="9"/>
      <c r="G40" s="9"/>
      <c r="H40" s="9"/>
      <c r="I40" s="9"/>
      <c r="J40" s="9"/>
      <c r="K40" s="9"/>
      <c r="L40" s="9"/>
      <c r="M40" s="9"/>
      <c r="N40" s="9"/>
      <c r="O40" s="9"/>
      <c r="P40" s="9">
        <f>$O$9*5250</f>
        <v>12468750</v>
      </c>
      <c r="Q40" s="9">
        <f>$O$9*5250</f>
        <v>12468750</v>
      </c>
      <c r="R40" s="9">
        <f>$O$9*5250</f>
        <v>12468750</v>
      </c>
      <c r="S40" s="9">
        <f>$O$9*5250</f>
        <v>12468750</v>
      </c>
      <c r="T40" s="9">
        <f>$O$9*5250</f>
        <v>12468750</v>
      </c>
      <c r="U40" s="9"/>
      <c r="V40" s="9"/>
    </row>
    <row r="41" spans="1:23" x14ac:dyDescent="0.25">
      <c r="A41" t="s">
        <v>41</v>
      </c>
      <c r="B41" s="9"/>
      <c r="C41" s="9"/>
      <c r="D41" s="9"/>
      <c r="E41" s="9"/>
      <c r="F41" s="9"/>
      <c r="G41" s="9"/>
      <c r="H41" s="9"/>
      <c r="I41" s="9"/>
      <c r="J41" s="9"/>
      <c r="K41" s="9"/>
      <c r="L41" s="9"/>
      <c r="M41" s="9"/>
      <c r="N41" s="9"/>
      <c r="O41" s="9"/>
      <c r="P41" s="9"/>
      <c r="Q41" s="9">
        <f>$P$9*5250</f>
        <v>12468750</v>
      </c>
      <c r="R41" s="9">
        <f>$P$9*5250</f>
        <v>12468750</v>
      </c>
      <c r="S41" s="9">
        <f>$P$9*5250</f>
        <v>12468750</v>
      </c>
      <c r="T41" s="9">
        <f>$P$9*5250</f>
        <v>12468750</v>
      </c>
      <c r="U41" s="9">
        <f>$P$9*5250</f>
        <v>12468750</v>
      </c>
      <c r="V41" s="9"/>
    </row>
    <row r="42" spans="1:23" x14ac:dyDescent="0.25">
      <c r="A42" t="s">
        <v>42</v>
      </c>
      <c r="B42" s="9"/>
      <c r="C42" s="9"/>
      <c r="D42" s="9"/>
      <c r="E42" s="9"/>
      <c r="F42" s="9"/>
      <c r="G42" s="9"/>
      <c r="H42" s="9"/>
      <c r="I42" s="9"/>
      <c r="J42" s="9"/>
      <c r="K42" s="9"/>
      <c r="L42" s="9"/>
      <c r="M42" s="9"/>
      <c r="N42" s="9"/>
      <c r="O42" s="9"/>
      <c r="P42" s="9"/>
      <c r="Q42" s="9"/>
      <c r="R42" s="9">
        <f>$Q$9*5250</f>
        <v>12468750</v>
      </c>
      <c r="S42" s="9">
        <f>$Q$9*5250</f>
        <v>12468750</v>
      </c>
      <c r="T42" s="9">
        <f>$Q$9*5250</f>
        <v>12468750</v>
      </c>
      <c r="U42" s="9">
        <f>$Q$9*5250</f>
        <v>12468750</v>
      </c>
      <c r="V42" s="9">
        <f>$Q$9*5250</f>
        <v>12468750</v>
      </c>
    </row>
    <row r="43" spans="1:23" x14ac:dyDescent="0.25">
      <c r="A43" t="s">
        <v>43</v>
      </c>
      <c r="B43" s="7">
        <f>SUM(B26:B42)</f>
        <v>6562500</v>
      </c>
      <c r="C43" s="7">
        <f t="shared" ref="C43:U43" si="5">SUM(C26:C42)</f>
        <v>13125000</v>
      </c>
      <c r="D43" s="7">
        <f t="shared" si="5"/>
        <v>29531250</v>
      </c>
      <c r="E43" s="7">
        <f t="shared" si="5"/>
        <v>45937500</v>
      </c>
      <c r="F43" s="7">
        <f t="shared" si="5"/>
        <v>62343750</v>
      </c>
      <c r="G43" s="7">
        <f t="shared" si="5"/>
        <v>72187500</v>
      </c>
      <c r="H43" s="7">
        <f t="shared" si="5"/>
        <v>85312500</v>
      </c>
      <c r="I43" s="7">
        <f t="shared" si="5"/>
        <v>88593750</v>
      </c>
      <c r="J43" s="7">
        <f t="shared" si="5"/>
        <v>91875000</v>
      </c>
      <c r="K43" s="7">
        <f t="shared" si="5"/>
        <v>95156250</v>
      </c>
      <c r="L43" s="7">
        <f t="shared" si="5"/>
        <v>98437500</v>
      </c>
      <c r="M43" s="7">
        <f t="shared" si="5"/>
        <v>98437500</v>
      </c>
      <c r="N43" s="7">
        <f t="shared" si="5"/>
        <v>91218750</v>
      </c>
      <c r="O43" s="7">
        <f t="shared" si="5"/>
        <v>84000000</v>
      </c>
      <c r="P43" s="7">
        <f t="shared" si="5"/>
        <v>76781250</v>
      </c>
      <c r="Q43" s="7">
        <f t="shared" si="5"/>
        <v>69562500</v>
      </c>
      <c r="R43" s="7">
        <f t="shared" si="5"/>
        <v>62343750</v>
      </c>
      <c r="S43" s="7">
        <f t="shared" si="5"/>
        <v>49875000</v>
      </c>
      <c r="T43" s="7">
        <f t="shared" si="5"/>
        <v>37406250</v>
      </c>
      <c r="U43" s="7">
        <f t="shared" si="5"/>
        <v>24937500</v>
      </c>
      <c r="V43" s="7">
        <f>SUM(V26:V42)</f>
        <v>12468750</v>
      </c>
      <c r="W43" s="10">
        <f>SUM(B43:V43)</f>
        <v>1296093750</v>
      </c>
    </row>
    <row r="44" spans="1:23" x14ac:dyDescent="0.25">
      <c r="B44" s="7"/>
      <c r="C44" s="7"/>
      <c r="D44" s="7"/>
      <c r="E44" s="7"/>
      <c r="F44" s="7"/>
      <c r="G44" s="7"/>
      <c r="H44" s="7"/>
      <c r="I44" s="7"/>
      <c r="J44" s="7"/>
      <c r="K44" s="7"/>
      <c r="L44" s="7"/>
      <c r="M44" s="7"/>
      <c r="N44" s="7"/>
      <c r="O44" s="7"/>
      <c r="P44" s="7"/>
      <c r="Q44" s="7"/>
      <c r="R44" s="7"/>
      <c r="S44" s="7"/>
      <c r="T44" s="7"/>
      <c r="U44" s="7"/>
      <c r="V44" s="7"/>
      <c r="W44" s="10"/>
    </row>
    <row r="46" spans="1:23" ht="31.5" x14ac:dyDescent="0.25">
      <c r="A46" s="40"/>
      <c r="B46" s="41" t="s">
        <v>55</v>
      </c>
      <c r="C46" s="41" t="s">
        <v>45</v>
      </c>
      <c r="D46" s="41" t="s">
        <v>44</v>
      </c>
    </row>
    <row r="47" spans="1:23" ht="15.75" x14ac:dyDescent="0.25">
      <c r="A47" s="42" t="s">
        <v>25</v>
      </c>
      <c r="B47" s="131">
        <f>W43</f>
        <v>1296093750</v>
      </c>
      <c r="C47" s="118">
        <f>NPV(D47,B43:W43)</f>
        <v>1060590503.937878</v>
      </c>
      <c r="D47" s="115">
        <v>0.06</v>
      </c>
    </row>
  </sheetData>
  <pageMargins left="0.7" right="0.7" top="0.75" bottom="0.75" header="0.3" footer="0.3"/>
  <pageSetup scale="3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37"/>
  <sheetViews>
    <sheetView topLeftCell="A5" zoomScaleNormal="100" workbookViewId="0">
      <selection activeCell="H34" sqref="H34"/>
    </sheetView>
  </sheetViews>
  <sheetFormatPr defaultRowHeight="15" x14ac:dyDescent="0.25"/>
  <cols>
    <col min="1" max="1" width="28.85546875" customWidth="1"/>
    <col min="2" max="3" width="22.140625" style="1" customWidth="1"/>
    <col min="4" max="4" width="16.42578125" style="1" bestFit="1" customWidth="1"/>
    <col min="5" max="17" width="15.28515625" style="1" bestFit="1" customWidth="1"/>
    <col min="18" max="18" width="18" style="1" bestFit="1" customWidth="1"/>
    <col min="19" max="20" width="18.140625" style="1" customWidth="1"/>
    <col min="21" max="22" width="18.140625" customWidth="1"/>
    <col min="23" max="23" width="17.28515625" bestFit="1" customWidth="1"/>
  </cols>
  <sheetData>
    <row r="2" spans="1:25" ht="15.75" x14ac:dyDescent="0.25">
      <c r="A2" s="40" t="s">
        <v>112</v>
      </c>
    </row>
    <row r="4" spans="1:25" x14ac:dyDescent="0.25">
      <c r="A4" s="8" t="s">
        <v>19</v>
      </c>
    </row>
    <row r="5" spans="1:25" s="49" customFormat="1" x14ac:dyDescent="0.25">
      <c r="B5" s="112" t="s">
        <v>20</v>
      </c>
      <c r="C5" s="113">
        <v>2021</v>
      </c>
      <c r="D5" s="113">
        <v>2022</v>
      </c>
      <c r="E5" s="113">
        <v>2023</v>
      </c>
      <c r="F5" s="113">
        <v>2024</v>
      </c>
      <c r="G5" s="113">
        <v>2025</v>
      </c>
      <c r="H5" s="113">
        <v>2026</v>
      </c>
      <c r="I5" s="113">
        <v>2027</v>
      </c>
      <c r="J5" s="113">
        <v>2028</v>
      </c>
      <c r="K5" s="113">
        <v>2029</v>
      </c>
      <c r="L5" s="113">
        <v>2030</v>
      </c>
      <c r="M5" s="113">
        <v>2031</v>
      </c>
      <c r="N5" s="113">
        <v>2032</v>
      </c>
      <c r="O5" s="113">
        <v>2033</v>
      </c>
      <c r="P5" s="113">
        <v>2034</v>
      </c>
      <c r="Q5" s="113">
        <v>2035</v>
      </c>
      <c r="R5" s="114"/>
      <c r="S5" s="114"/>
      <c r="T5" s="114"/>
    </row>
    <row r="6" spans="1:25" s="2" customFormat="1" x14ac:dyDescent="0.25">
      <c r="B6" s="3" t="s">
        <v>0</v>
      </c>
      <c r="C6" s="3" t="s">
        <v>1</v>
      </c>
      <c r="D6" s="3" t="s">
        <v>2</v>
      </c>
      <c r="E6" s="3" t="s">
        <v>3</v>
      </c>
      <c r="F6" s="3" t="s">
        <v>4</v>
      </c>
      <c r="G6" s="3" t="s">
        <v>5</v>
      </c>
      <c r="H6" s="3" t="s">
        <v>6</v>
      </c>
      <c r="I6" s="3" t="s">
        <v>7</v>
      </c>
      <c r="J6" s="3" t="s">
        <v>8</v>
      </c>
      <c r="K6" s="3" t="s">
        <v>9</v>
      </c>
      <c r="L6" s="3" t="s">
        <v>10</v>
      </c>
      <c r="M6" s="3" t="s">
        <v>11</v>
      </c>
      <c r="N6" s="3" t="s">
        <v>12</v>
      </c>
      <c r="O6" s="3" t="s">
        <v>13</v>
      </c>
      <c r="P6" s="4" t="s">
        <v>14</v>
      </c>
      <c r="Q6" s="4" t="s">
        <v>15</v>
      </c>
      <c r="R6" s="3" t="s">
        <v>17</v>
      </c>
      <c r="S6" s="3" t="s">
        <v>18</v>
      </c>
    </row>
    <row r="7" spans="1:25" x14ac:dyDescent="0.25">
      <c r="A7" s="101" t="s">
        <v>16</v>
      </c>
      <c r="B7" s="1">
        <v>500000</v>
      </c>
      <c r="C7" s="1">
        <v>500000</v>
      </c>
      <c r="D7" s="1">
        <v>500000</v>
      </c>
      <c r="E7" s="1">
        <v>500000</v>
      </c>
      <c r="F7" s="1">
        <v>500000</v>
      </c>
      <c r="G7" s="1">
        <v>600000</v>
      </c>
      <c r="H7" s="1">
        <v>600000</v>
      </c>
      <c r="I7" s="1">
        <v>600000</v>
      </c>
      <c r="J7" s="1">
        <v>600000</v>
      </c>
      <c r="K7" s="1">
        <v>600000</v>
      </c>
      <c r="L7" s="1">
        <v>600000</v>
      </c>
      <c r="M7" s="1">
        <v>380000</v>
      </c>
      <c r="N7" s="1">
        <v>380000</v>
      </c>
      <c r="O7" s="1">
        <v>380000</v>
      </c>
      <c r="P7" s="1">
        <v>380000</v>
      </c>
      <c r="Q7" s="1">
        <v>380000</v>
      </c>
      <c r="R7" s="1">
        <f>SUM(B7:Q7)</f>
        <v>8000000</v>
      </c>
      <c r="S7" s="1">
        <v>8000000</v>
      </c>
    </row>
    <row r="8" spans="1:25" s="116" customFormat="1" x14ac:dyDescent="0.25">
      <c r="A8" s="101" t="s">
        <v>21</v>
      </c>
      <c r="B8" s="116">
        <f>600*B7</f>
        <v>300000000</v>
      </c>
      <c r="C8" s="116">
        <f t="shared" ref="C8:Q8" si="0">600*C7</f>
        <v>300000000</v>
      </c>
      <c r="D8" s="116">
        <f t="shared" si="0"/>
        <v>300000000</v>
      </c>
      <c r="E8" s="116">
        <f t="shared" si="0"/>
        <v>300000000</v>
      </c>
      <c r="F8" s="116">
        <f t="shared" si="0"/>
        <v>300000000</v>
      </c>
      <c r="G8" s="116">
        <f t="shared" si="0"/>
        <v>360000000</v>
      </c>
      <c r="H8" s="116">
        <f t="shared" si="0"/>
        <v>360000000</v>
      </c>
      <c r="I8" s="116">
        <f t="shared" si="0"/>
        <v>360000000</v>
      </c>
      <c r="J8" s="116">
        <f t="shared" si="0"/>
        <v>360000000</v>
      </c>
      <c r="K8" s="116">
        <f t="shared" si="0"/>
        <v>360000000</v>
      </c>
      <c r="L8" s="116">
        <f t="shared" si="0"/>
        <v>360000000</v>
      </c>
      <c r="M8" s="116">
        <f t="shared" si="0"/>
        <v>228000000</v>
      </c>
      <c r="N8" s="116">
        <f t="shared" si="0"/>
        <v>228000000</v>
      </c>
      <c r="O8" s="116">
        <f t="shared" si="0"/>
        <v>228000000</v>
      </c>
      <c r="P8" s="116">
        <f t="shared" si="0"/>
        <v>228000000</v>
      </c>
      <c r="Q8" s="116">
        <f t="shared" si="0"/>
        <v>228000000</v>
      </c>
      <c r="R8" s="116">
        <f>SUM(B8:Q8)</f>
        <v>4800000000</v>
      </c>
    </row>
    <row r="9" spans="1:25" x14ac:dyDescent="0.25">
      <c r="A9" s="101" t="s">
        <v>22</v>
      </c>
      <c r="B9" s="1">
        <v>2500</v>
      </c>
      <c r="C9" s="1">
        <f>ROUND(C7/160,1)</f>
        <v>3125</v>
      </c>
      <c r="D9" s="1">
        <f t="shared" ref="D9:Q9" si="1">ROUND(D7/160,1)</f>
        <v>3125</v>
      </c>
      <c r="E9" s="1">
        <f t="shared" si="1"/>
        <v>3125</v>
      </c>
      <c r="F9" s="1">
        <f t="shared" si="1"/>
        <v>3125</v>
      </c>
      <c r="G9" s="1">
        <f t="shared" si="1"/>
        <v>3750</v>
      </c>
      <c r="H9" s="1">
        <f t="shared" si="1"/>
        <v>3750</v>
      </c>
      <c r="I9" s="1">
        <f t="shared" si="1"/>
        <v>3750</v>
      </c>
      <c r="J9" s="1">
        <f t="shared" si="1"/>
        <v>3750</v>
      </c>
      <c r="K9" s="1">
        <f t="shared" si="1"/>
        <v>3750</v>
      </c>
      <c r="L9" s="1">
        <f t="shared" si="1"/>
        <v>3750</v>
      </c>
      <c r="M9" s="1">
        <f t="shared" si="1"/>
        <v>2375</v>
      </c>
      <c r="N9" s="1">
        <f t="shared" si="1"/>
        <v>2375</v>
      </c>
      <c r="O9" s="1">
        <f t="shared" si="1"/>
        <v>2375</v>
      </c>
      <c r="P9" s="1">
        <f t="shared" si="1"/>
        <v>2375</v>
      </c>
      <c r="Q9" s="1">
        <f t="shared" si="1"/>
        <v>2375</v>
      </c>
      <c r="R9" s="1">
        <f>SUM(B9:Q9)</f>
        <v>49375</v>
      </c>
      <c r="S9" s="1">
        <v>50000</v>
      </c>
    </row>
    <row r="10" spans="1:25" s="116" customFormat="1" x14ac:dyDescent="0.25">
      <c r="A10" s="101" t="s">
        <v>23</v>
      </c>
      <c r="B10" s="116">
        <f>B9*100000</f>
        <v>250000000</v>
      </c>
      <c r="C10" s="116">
        <f t="shared" ref="C10:Q10" si="2">C9*100000</f>
        <v>312500000</v>
      </c>
      <c r="D10" s="116">
        <f t="shared" si="2"/>
        <v>312500000</v>
      </c>
      <c r="E10" s="116">
        <f t="shared" si="2"/>
        <v>312500000</v>
      </c>
      <c r="F10" s="116">
        <f t="shared" si="2"/>
        <v>312500000</v>
      </c>
      <c r="G10" s="116">
        <f t="shared" si="2"/>
        <v>375000000</v>
      </c>
      <c r="H10" s="116">
        <f t="shared" si="2"/>
        <v>375000000</v>
      </c>
      <c r="I10" s="116">
        <f t="shared" si="2"/>
        <v>375000000</v>
      </c>
      <c r="J10" s="116">
        <f t="shared" si="2"/>
        <v>375000000</v>
      </c>
      <c r="K10" s="116">
        <f t="shared" si="2"/>
        <v>375000000</v>
      </c>
      <c r="L10" s="116">
        <f t="shared" si="2"/>
        <v>375000000</v>
      </c>
      <c r="M10" s="116">
        <f t="shared" si="2"/>
        <v>237500000</v>
      </c>
      <c r="N10" s="116">
        <f t="shared" si="2"/>
        <v>237500000</v>
      </c>
      <c r="O10" s="116">
        <f t="shared" si="2"/>
        <v>237500000</v>
      </c>
      <c r="P10" s="116">
        <f t="shared" si="2"/>
        <v>237500000</v>
      </c>
      <c r="Q10" s="116">
        <f t="shared" si="2"/>
        <v>237500000</v>
      </c>
      <c r="R10" s="116">
        <f>R9*100000</f>
        <v>4937500000</v>
      </c>
    </row>
    <row r="12" spans="1:25" s="1" customFormat="1" x14ac:dyDescent="0.25">
      <c r="A12" s="8" t="s">
        <v>24</v>
      </c>
      <c r="U12"/>
      <c r="V12"/>
      <c r="W12"/>
      <c r="X12"/>
      <c r="Y12"/>
    </row>
    <row r="13" spans="1:25" s="114" customFormat="1" x14ac:dyDescent="0.25">
      <c r="A13" s="49"/>
      <c r="B13" s="112" t="s">
        <v>20</v>
      </c>
      <c r="C13" s="113">
        <v>2021</v>
      </c>
      <c r="D13" s="113">
        <v>2022</v>
      </c>
      <c r="E13" s="113">
        <v>2023</v>
      </c>
      <c r="F13" s="113">
        <v>2024</v>
      </c>
      <c r="G13" s="113">
        <v>2025</v>
      </c>
      <c r="H13" s="113">
        <v>2026</v>
      </c>
      <c r="I13" s="113">
        <v>2027</v>
      </c>
      <c r="J13" s="113">
        <v>2028</v>
      </c>
      <c r="K13" s="113">
        <v>2029</v>
      </c>
      <c r="L13" s="113">
        <v>2030</v>
      </c>
      <c r="M13" s="113">
        <v>2031</v>
      </c>
      <c r="N13" s="113">
        <v>2032</v>
      </c>
      <c r="O13" s="113">
        <v>2033</v>
      </c>
      <c r="P13" s="113">
        <v>2034</v>
      </c>
      <c r="Q13" s="113">
        <v>2035</v>
      </c>
      <c r="U13" s="49"/>
      <c r="V13" s="49"/>
      <c r="W13" s="49"/>
      <c r="X13" s="49"/>
      <c r="Y13" s="49"/>
    </row>
    <row r="14" spans="1:25" s="1" customFormat="1" x14ac:dyDescent="0.25">
      <c r="A14" s="2"/>
      <c r="B14" s="3" t="s">
        <v>0</v>
      </c>
      <c r="C14" s="3" t="s">
        <v>1</v>
      </c>
      <c r="D14" s="3" t="s">
        <v>2</v>
      </c>
      <c r="E14" s="3" t="s">
        <v>3</v>
      </c>
      <c r="F14" s="3" t="s">
        <v>4</v>
      </c>
      <c r="G14" s="3" t="s">
        <v>5</v>
      </c>
      <c r="H14" s="3" t="s">
        <v>6</v>
      </c>
      <c r="I14" s="3" t="s">
        <v>7</v>
      </c>
      <c r="J14" s="3" t="s">
        <v>8</v>
      </c>
      <c r="K14" s="3" t="s">
        <v>9</v>
      </c>
      <c r="L14" s="3" t="s">
        <v>10</v>
      </c>
      <c r="M14" s="3" t="s">
        <v>11</v>
      </c>
      <c r="N14" s="3" t="s">
        <v>12</v>
      </c>
      <c r="O14" s="3" t="s">
        <v>13</v>
      </c>
      <c r="P14" s="4" t="s">
        <v>14</v>
      </c>
      <c r="Q14" s="4" t="s">
        <v>15</v>
      </c>
      <c r="R14" s="3"/>
      <c r="S14" s="3"/>
      <c r="U14"/>
      <c r="V14"/>
      <c r="W14"/>
      <c r="X14"/>
      <c r="Y14"/>
    </row>
    <row r="15" spans="1:25" s="1" customFormat="1" x14ac:dyDescent="0.25">
      <c r="A15" s="101" t="s">
        <v>16</v>
      </c>
      <c r="B15" s="1">
        <v>500000</v>
      </c>
      <c r="C15" s="1">
        <f t="shared" ref="C15:Q15" si="3">B15+C7</f>
        <v>1000000</v>
      </c>
      <c r="D15" s="1">
        <f t="shared" si="3"/>
        <v>1500000</v>
      </c>
      <c r="E15" s="1">
        <f t="shared" si="3"/>
        <v>2000000</v>
      </c>
      <c r="F15" s="1">
        <f t="shared" si="3"/>
        <v>2500000</v>
      </c>
      <c r="G15" s="1">
        <f t="shared" si="3"/>
        <v>3100000</v>
      </c>
      <c r="H15" s="1">
        <f t="shared" si="3"/>
        <v>3700000</v>
      </c>
      <c r="I15" s="1">
        <f t="shared" si="3"/>
        <v>4300000</v>
      </c>
      <c r="J15" s="1">
        <f t="shared" si="3"/>
        <v>4900000</v>
      </c>
      <c r="K15" s="1">
        <f t="shared" si="3"/>
        <v>5500000</v>
      </c>
      <c r="L15" s="1">
        <f t="shared" si="3"/>
        <v>6100000</v>
      </c>
      <c r="M15" s="1">
        <f t="shared" si="3"/>
        <v>6480000</v>
      </c>
      <c r="N15" s="1">
        <f t="shared" si="3"/>
        <v>6860000</v>
      </c>
      <c r="O15" s="1">
        <f t="shared" si="3"/>
        <v>7240000</v>
      </c>
      <c r="P15" s="1">
        <f t="shared" si="3"/>
        <v>7620000</v>
      </c>
      <c r="Q15" s="1">
        <f t="shared" si="3"/>
        <v>8000000</v>
      </c>
      <c r="U15"/>
      <c r="V15"/>
      <c r="W15"/>
      <c r="X15"/>
      <c r="Y15"/>
    </row>
    <row r="16" spans="1:25" s="116" customFormat="1" x14ac:dyDescent="0.25">
      <c r="A16" s="101" t="s">
        <v>21</v>
      </c>
      <c r="B16" s="116">
        <f>600*B15</f>
        <v>300000000</v>
      </c>
      <c r="C16" s="116">
        <f t="shared" ref="C16:Q16" si="4">B16+C8</f>
        <v>600000000</v>
      </c>
      <c r="D16" s="116">
        <f t="shared" si="4"/>
        <v>900000000</v>
      </c>
      <c r="E16" s="116">
        <f t="shared" si="4"/>
        <v>1200000000</v>
      </c>
      <c r="F16" s="116">
        <f t="shared" si="4"/>
        <v>1500000000</v>
      </c>
      <c r="G16" s="116">
        <f t="shared" si="4"/>
        <v>1860000000</v>
      </c>
      <c r="H16" s="116">
        <f t="shared" si="4"/>
        <v>2220000000</v>
      </c>
      <c r="I16" s="116">
        <f t="shared" si="4"/>
        <v>2580000000</v>
      </c>
      <c r="J16" s="116">
        <f t="shared" si="4"/>
        <v>2940000000</v>
      </c>
      <c r="K16" s="116">
        <f t="shared" si="4"/>
        <v>3300000000</v>
      </c>
      <c r="L16" s="116">
        <f t="shared" si="4"/>
        <v>3660000000</v>
      </c>
      <c r="M16" s="116">
        <f t="shared" si="4"/>
        <v>3888000000</v>
      </c>
      <c r="N16" s="116">
        <f t="shared" si="4"/>
        <v>4116000000</v>
      </c>
      <c r="O16" s="116">
        <f t="shared" si="4"/>
        <v>4344000000</v>
      </c>
      <c r="P16" s="116">
        <f t="shared" si="4"/>
        <v>4572000000</v>
      </c>
      <c r="Q16" s="116">
        <f t="shared" si="4"/>
        <v>4800000000</v>
      </c>
    </row>
    <row r="17" spans="1:25" s="1" customFormat="1" x14ac:dyDescent="0.25">
      <c r="A17" s="101" t="s">
        <v>22</v>
      </c>
      <c r="B17" s="1">
        <v>2500</v>
      </c>
      <c r="C17" s="1">
        <f t="shared" ref="C17:Q17" si="5">B17+C9</f>
        <v>5625</v>
      </c>
      <c r="D17" s="1">
        <f t="shared" si="5"/>
        <v>8750</v>
      </c>
      <c r="E17" s="1">
        <f t="shared" si="5"/>
        <v>11875</v>
      </c>
      <c r="F17" s="1">
        <f t="shared" si="5"/>
        <v>15000</v>
      </c>
      <c r="G17" s="1">
        <f t="shared" si="5"/>
        <v>18750</v>
      </c>
      <c r="H17" s="1">
        <f t="shared" si="5"/>
        <v>22500</v>
      </c>
      <c r="I17" s="1">
        <f t="shared" si="5"/>
        <v>26250</v>
      </c>
      <c r="J17" s="1">
        <f t="shared" si="5"/>
        <v>30000</v>
      </c>
      <c r="K17" s="1">
        <f t="shared" si="5"/>
        <v>33750</v>
      </c>
      <c r="L17" s="1">
        <f t="shared" si="5"/>
        <v>37500</v>
      </c>
      <c r="M17" s="1">
        <f t="shared" si="5"/>
        <v>39875</v>
      </c>
      <c r="N17" s="1">
        <f t="shared" si="5"/>
        <v>42250</v>
      </c>
      <c r="O17" s="1">
        <f t="shared" si="5"/>
        <v>44625</v>
      </c>
      <c r="P17" s="1">
        <f t="shared" si="5"/>
        <v>47000</v>
      </c>
      <c r="Q17" s="1">
        <f t="shared" si="5"/>
        <v>49375</v>
      </c>
      <c r="U17"/>
      <c r="V17"/>
      <c r="W17"/>
      <c r="X17"/>
      <c r="Y17"/>
    </row>
    <row r="18" spans="1:25" s="116" customFormat="1" x14ac:dyDescent="0.25">
      <c r="A18" s="101" t="s">
        <v>23</v>
      </c>
      <c r="B18" s="116">
        <f>B17*100000</f>
        <v>250000000</v>
      </c>
      <c r="C18" s="116">
        <f t="shared" ref="C18:Q18" si="6">B18+C10</f>
        <v>562500000</v>
      </c>
      <c r="D18" s="116">
        <f t="shared" si="6"/>
        <v>875000000</v>
      </c>
      <c r="E18" s="116">
        <f t="shared" si="6"/>
        <v>1187500000</v>
      </c>
      <c r="F18" s="116">
        <f t="shared" si="6"/>
        <v>1500000000</v>
      </c>
      <c r="G18" s="116">
        <f t="shared" si="6"/>
        <v>1875000000</v>
      </c>
      <c r="H18" s="116">
        <f t="shared" si="6"/>
        <v>2250000000</v>
      </c>
      <c r="I18" s="116">
        <f t="shared" si="6"/>
        <v>2625000000</v>
      </c>
      <c r="J18" s="116">
        <f t="shared" si="6"/>
        <v>3000000000</v>
      </c>
      <c r="K18" s="116">
        <f t="shared" si="6"/>
        <v>3375000000</v>
      </c>
      <c r="L18" s="116">
        <f t="shared" si="6"/>
        <v>3750000000</v>
      </c>
      <c r="M18" s="116">
        <f t="shared" si="6"/>
        <v>3987500000</v>
      </c>
      <c r="N18" s="116">
        <f t="shared" si="6"/>
        <v>4225000000</v>
      </c>
      <c r="O18" s="116">
        <f t="shared" si="6"/>
        <v>4462500000</v>
      </c>
      <c r="P18" s="116">
        <f t="shared" si="6"/>
        <v>4700000000</v>
      </c>
      <c r="Q18" s="116">
        <f t="shared" si="6"/>
        <v>4937500000</v>
      </c>
    </row>
    <row r="24" spans="1:25" x14ac:dyDescent="0.25">
      <c r="A24" s="128" t="s">
        <v>170</v>
      </c>
    </row>
    <row r="25" spans="1:25" ht="30" x14ac:dyDescent="0.25">
      <c r="A25" s="129" t="s">
        <v>49</v>
      </c>
      <c r="B25" s="14">
        <v>0.75</v>
      </c>
    </row>
    <row r="26" spans="1:25" ht="30" x14ac:dyDescent="0.25">
      <c r="A26" s="129" t="s">
        <v>50</v>
      </c>
      <c r="B26" s="14">
        <v>8.8999999999999996E-2</v>
      </c>
    </row>
    <row r="27" spans="1:25" x14ac:dyDescent="0.25">
      <c r="A27" s="101"/>
      <c r="B27" s="14"/>
    </row>
    <row r="28" spans="1:25" s="49" customFormat="1" x14ac:dyDescent="0.25">
      <c r="A28" s="101"/>
      <c r="B28" s="113">
        <v>2019</v>
      </c>
      <c r="C28" s="113">
        <v>2020</v>
      </c>
      <c r="D28" s="113">
        <v>2021</v>
      </c>
      <c r="E28" s="113">
        <v>2022</v>
      </c>
      <c r="F28" s="113">
        <v>2023</v>
      </c>
      <c r="G28" s="113">
        <v>2024</v>
      </c>
      <c r="H28" s="113">
        <v>2025</v>
      </c>
      <c r="I28" s="113">
        <v>2026</v>
      </c>
      <c r="J28" s="113">
        <v>2027</v>
      </c>
      <c r="K28" s="113">
        <v>2028</v>
      </c>
      <c r="L28" s="113">
        <v>2029</v>
      </c>
      <c r="M28" s="113">
        <v>2030</v>
      </c>
      <c r="N28" s="113">
        <v>2031</v>
      </c>
      <c r="O28" s="113">
        <v>2032</v>
      </c>
      <c r="P28" s="113">
        <v>2033</v>
      </c>
      <c r="Q28" s="113">
        <v>2034</v>
      </c>
      <c r="R28" s="113">
        <v>2035</v>
      </c>
      <c r="S28" s="113"/>
      <c r="T28" s="113"/>
      <c r="U28" s="113"/>
      <c r="V28" s="113"/>
      <c r="W28" s="113"/>
      <c r="X28" s="113"/>
      <c r="Y28" s="113"/>
    </row>
    <row r="29" spans="1:25" s="116" customFormat="1" x14ac:dyDescent="0.25">
      <c r="A29" s="128" t="s">
        <v>51</v>
      </c>
      <c r="B29" s="116">
        <f>(B8/2)*$B$25*$B$26</f>
        <v>10012500</v>
      </c>
      <c r="C29" s="116">
        <f>(B8/2)*$B$25*$B$26</f>
        <v>10012500</v>
      </c>
      <c r="D29" s="116">
        <f t="shared" ref="D29:R29" si="7">C8*$B$25*$B$26</f>
        <v>20025000</v>
      </c>
      <c r="E29" s="116">
        <f t="shared" si="7"/>
        <v>20025000</v>
      </c>
      <c r="F29" s="116">
        <f t="shared" si="7"/>
        <v>20025000</v>
      </c>
      <c r="G29" s="116">
        <f t="shared" si="7"/>
        <v>20025000</v>
      </c>
      <c r="H29" s="116">
        <f t="shared" si="7"/>
        <v>24030000</v>
      </c>
      <c r="I29" s="116">
        <f t="shared" si="7"/>
        <v>24030000</v>
      </c>
      <c r="J29" s="116">
        <f t="shared" si="7"/>
        <v>24030000</v>
      </c>
      <c r="K29" s="116">
        <f t="shared" si="7"/>
        <v>24030000</v>
      </c>
      <c r="L29" s="116">
        <f t="shared" si="7"/>
        <v>24030000</v>
      </c>
      <c r="M29" s="116">
        <f t="shared" si="7"/>
        <v>24030000</v>
      </c>
      <c r="N29" s="116">
        <f t="shared" si="7"/>
        <v>15219000</v>
      </c>
      <c r="O29" s="116">
        <f t="shared" si="7"/>
        <v>15219000</v>
      </c>
      <c r="P29" s="116">
        <f t="shared" si="7"/>
        <v>15219000</v>
      </c>
      <c r="Q29" s="116">
        <f t="shared" si="7"/>
        <v>15219000</v>
      </c>
      <c r="R29" s="116">
        <f t="shared" si="7"/>
        <v>15219000</v>
      </c>
    </row>
    <row r="30" spans="1:25" x14ac:dyDescent="0.25">
      <c r="A30" s="101"/>
      <c r="B30" s="9"/>
      <c r="C30" s="9"/>
      <c r="D30" s="9"/>
      <c r="E30" s="9"/>
      <c r="F30" s="9"/>
      <c r="G30" s="9"/>
      <c r="H30" s="9"/>
      <c r="I30" s="9"/>
      <c r="J30" s="9"/>
      <c r="K30" s="9"/>
      <c r="L30" s="9"/>
      <c r="M30" s="9"/>
      <c r="N30" s="9"/>
      <c r="O30" s="9"/>
      <c r="P30" s="9"/>
      <c r="Q30" s="9"/>
      <c r="R30" s="9"/>
      <c r="S30" s="9"/>
      <c r="T30" s="9"/>
      <c r="U30" s="9"/>
      <c r="V30" s="9"/>
    </row>
    <row r="31" spans="1:25" x14ac:dyDescent="0.25">
      <c r="A31" s="101"/>
    </row>
    <row r="32" spans="1:25" ht="31.5" x14ac:dyDescent="0.25">
      <c r="A32" s="101"/>
      <c r="B32" s="41" t="s">
        <v>55</v>
      </c>
      <c r="C32" s="41" t="s">
        <v>45</v>
      </c>
      <c r="D32" s="41" t="s">
        <v>44</v>
      </c>
    </row>
    <row r="33" spans="1:23" ht="31.5" x14ac:dyDescent="0.25">
      <c r="A33" s="130" t="s">
        <v>48</v>
      </c>
      <c r="B33" s="118">
        <f>SUM(B29:R29)</f>
        <v>320400000</v>
      </c>
      <c r="C33" s="118">
        <f>NPV(D33,SUM(B29:R29))</f>
        <v>302264150.94339621</v>
      </c>
      <c r="D33" s="117">
        <v>0.06</v>
      </c>
    </row>
    <row r="35" spans="1:23" x14ac:dyDescent="0.25">
      <c r="B35" s="11"/>
    </row>
    <row r="36" spans="1:23" x14ac:dyDescent="0.25">
      <c r="B36" s="11"/>
      <c r="W36" s="12"/>
    </row>
    <row r="37" spans="1:23" x14ac:dyDescent="0.25">
      <c r="B37" s="11"/>
    </row>
  </sheetData>
  <pageMargins left="0.7" right="0.7" top="0.75" bottom="0.75" header="0.3" footer="0.3"/>
  <pageSetup paperSize="17" scale="61"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E26"/>
  <sheetViews>
    <sheetView zoomScale="80" zoomScaleNormal="80" zoomScaleSheetLayoutView="100" workbookViewId="0">
      <selection activeCell="D9" sqref="D9"/>
    </sheetView>
  </sheetViews>
  <sheetFormatPr defaultRowHeight="15" x14ac:dyDescent="0.25"/>
  <cols>
    <col min="1" max="1" width="3.28515625" customWidth="1"/>
    <col min="2" max="2" width="67.28515625" style="33" customWidth="1"/>
    <col min="3" max="3" width="17.5703125" style="116" bestFit="1" customWidth="1"/>
    <col min="4" max="4" width="17.42578125" style="116" customWidth="1"/>
    <col min="5" max="5" width="17.28515625" style="116" bestFit="1" customWidth="1"/>
  </cols>
  <sheetData>
    <row r="5" spans="1:5" ht="30" x14ac:dyDescent="0.25">
      <c r="A5" s="158" t="s">
        <v>57</v>
      </c>
      <c r="B5" s="158"/>
      <c r="C5" s="119" t="s">
        <v>58</v>
      </c>
      <c r="D5" s="119" t="s">
        <v>111</v>
      </c>
      <c r="E5" s="119" t="s">
        <v>59</v>
      </c>
    </row>
    <row r="7" spans="1:5" s="23" customFormat="1" x14ac:dyDescent="0.25">
      <c r="A7" s="23" t="s">
        <v>60</v>
      </c>
      <c r="C7" s="120"/>
      <c r="D7" s="120"/>
      <c r="E7" s="120"/>
    </row>
    <row r="8" spans="1:5" s="23" customFormat="1" ht="30" x14ac:dyDescent="0.25">
      <c r="B8" s="24" t="s">
        <v>61</v>
      </c>
      <c r="C8" s="120">
        <f>SUM(C9:C15)</f>
        <v>32120000</v>
      </c>
      <c r="D8" s="120">
        <f>SUM(D9:D15)</f>
        <v>96200000</v>
      </c>
      <c r="E8" s="120">
        <f>SUM(E9:E15)</f>
        <v>90754716.981132075</v>
      </c>
    </row>
    <row r="9" spans="1:5" s="27" customFormat="1" ht="30" x14ac:dyDescent="0.25">
      <c r="A9" s="25"/>
      <c r="B9" s="26" t="s">
        <v>62</v>
      </c>
      <c r="C9" s="121">
        <f>12000000+12000000</f>
        <v>24000000</v>
      </c>
      <c r="D9" s="121">
        <f>C9</f>
        <v>24000000</v>
      </c>
      <c r="E9" s="121">
        <f>NPV(0.06,C9)</f>
        <v>22641509.433962263</v>
      </c>
    </row>
    <row r="10" spans="1:5" s="27" customFormat="1" x14ac:dyDescent="0.25">
      <c r="A10" s="28"/>
      <c r="B10" s="26" t="s">
        <v>63</v>
      </c>
      <c r="C10" s="121">
        <v>1000000</v>
      </c>
      <c r="D10" s="121">
        <f>C10</f>
        <v>1000000</v>
      </c>
      <c r="E10" s="121">
        <f>NPV(0.06,C10)</f>
        <v>943396.22641509434</v>
      </c>
    </row>
    <row r="11" spans="1:5" s="27" customFormat="1" ht="14.45" customHeight="1" x14ac:dyDescent="0.25">
      <c r="A11" s="28"/>
      <c r="B11" s="26" t="s">
        <v>64</v>
      </c>
      <c r="C11" s="121">
        <v>5000000</v>
      </c>
      <c r="D11" s="121">
        <f>C11*10</f>
        <v>50000000</v>
      </c>
      <c r="E11" s="121">
        <f t="shared" ref="E11:E14" si="0">NPV(0.06,C11*10)</f>
        <v>47169811.320754714</v>
      </c>
    </row>
    <row r="12" spans="1:5" s="27" customFormat="1" x14ac:dyDescent="0.25">
      <c r="A12" s="28"/>
      <c r="B12" s="26" t="s">
        <v>65</v>
      </c>
      <c r="C12" s="121">
        <f>20000*36</f>
        <v>720000</v>
      </c>
      <c r="D12" s="121">
        <f>C12*10</f>
        <v>7200000</v>
      </c>
      <c r="E12" s="121">
        <f t="shared" si="0"/>
        <v>6792452.8301886786</v>
      </c>
    </row>
    <row r="13" spans="1:5" s="27" customFormat="1" x14ac:dyDescent="0.25">
      <c r="B13" s="26" t="s">
        <v>66</v>
      </c>
      <c r="C13" s="121">
        <v>1200000</v>
      </c>
      <c r="D13" s="121">
        <f>C13*10</f>
        <v>12000000</v>
      </c>
      <c r="E13" s="121">
        <f>NPV(0.06,C13*10)</f>
        <v>11320754.716981132</v>
      </c>
    </row>
    <row r="14" spans="1:5" s="27" customFormat="1" ht="30" x14ac:dyDescent="0.25">
      <c r="A14" s="28"/>
      <c r="B14" s="26" t="s">
        <v>67</v>
      </c>
      <c r="C14" s="121">
        <v>100000</v>
      </c>
      <c r="D14" s="121">
        <f>C14*10</f>
        <v>1000000</v>
      </c>
      <c r="E14" s="121">
        <f t="shared" si="0"/>
        <v>943396.22641509434</v>
      </c>
    </row>
    <row r="15" spans="1:5" s="27" customFormat="1" x14ac:dyDescent="0.25">
      <c r="A15" s="28"/>
      <c r="B15" s="26" t="s">
        <v>68</v>
      </c>
      <c r="C15" s="121">
        <v>100000</v>
      </c>
      <c r="D15" s="121">
        <f>C15*10</f>
        <v>1000000</v>
      </c>
      <c r="E15" s="121">
        <f>NPV(0.06,C15*10)</f>
        <v>943396.22641509434</v>
      </c>
    </row>
    <row r="16" spans="1:5" s="27" customFormat="1" x14ac:dyDescent="0.25">
      <c r="A16" s="28"/>
      <c r="B16" s="29"/>
      <c r="C16" s="121"/>
      <c r="D16" s="121"/>
      <c r="E16" s="121"/>
    </row>
    <row r="17" spans="1:5" s="27" customFormat="1" ht="30" x14ac:dyDescent="0.25">
      <c r="A17" s="25"/>
      <c r="B17" s="24" t="s">
        <v>69</v>
      </c>
      <c r="C17" s="120">
        <f>SUM(C18:C20)</f>
        <v>6200000</v>
      </c>
      <c r="D17" s="120">
        <f>SUM(D18:D20)</f>
        <v>53000000</v>
      </c>
      <c r="E17" s="120">
        <f>SUM(E18:E20)</f>
        <v>50000000</v>
      </c>
    </row>
    <row r="18" spans="1:5" s="27" customFormat="1" x14ac:dyDescent="0.25">
      <c r="A18" s="25"/>
      <c r="B18" s="26" t="s">
        <v>70</v>
      </c>
      <c r="C18" s="121">
        <v>4000000</v>
      </c>
      <c r="D18" s="121">
        <f>C18*10</f>
        <v>40000000</v>
      </c>
      <c r="E18" s="121">
        <f>NPV(0.06,C18*10)</f>
        <v>37735849.056603774</v>
      </c>
    </row>
    <row r="19" spans="1:5" s="27" customFormat="1" x14ac:dyDescent="0.25">
      <c r="A19" s="25"/>
      <c r="B19" s="26" t="s">
        <v>71</v>
      </c>
      <c r="C19" s="121">
        <f>12000000/10</f>
        <v>1200000</v>
      </c>
      <c r="D19" s="121">
        <f>C19*10</f>
        <v>12000000</v>
      </c>
      <c r="E19" s="121">
        <f>NPV(0.06,C19*10)</f>
        <v>11320754.716981132</v>
      </c>
    </row>
    <row r="20" spans="1:5" s="27" customFormat="1" ht="30" x14ac:dyDescent="0.25">
      <c r="A20" s="25"/>
      <c r="B20" s="26" t="s">
        <v>72</v>
      </c>
      <c r="C20" s="121">
        <v>1000000</v>
      </c>
      <c r="D20" s="121">
        <f>C20</f>
        <v>1000000</v>
      </c>
      <c r="E20" s="121">
        <f>NPV(0.06,C20)</f>
        <v>943396.22641509434</v>
      </c>
    </row>
    <row r="21" spans="1:5" s="27" customFormat="1" x14ac:dyDescent="0.25">
      <c r="A21" s="25"/>
      <c r="B21" s="29"/>
      <c r="C21" s="121"/>
      <c r="D21" s="121"/>
      <c r="E21" s="121"/>
    </row>
    <row r="22" spans="1:5" s="27" customFormat="1" ht="30" x14ac:dyDescent="0.25">
      <c r="A22" s="30"/>
      <c r="B22" s="24" t="s">
        <v>73</v>
      </c>
      <c r="C22" s="120">
        <f>C23+C24</f>
        <v>1040000</v>
      </c>
      <c r="D22" s="120">
        <f>D23+D24</f>
        <v>12165494.83</v>
      </c>
      <c r="E22" s="120">
        <f>E23+E24</f>
        <v>11476881.915094338</v>
      </c>
    </row>
    <row r="23" spans="1:5" s="27" customFormat="1" ht="30" x14ac:dyDescent="0.25">
      <c r="B23" s="26" t="s">
        <v>74</v>
      </c>
      <c r="C23" s="121">
        <f>15000*36</f>
        <v>540000</v>
      </c>
      <c r="D23" s="121">
        <v>7165494.8300000001</v>
      </c>
      <c r="E23" s="121">
        <f>NPV(0.06,(7165494.83))</f>
        <v>6759900.7830188675</v>
      </c>
    </row>
    <row r="24" spans="1:5" s="27" customFormat="1" x14ac:dyDescent="0.25">
      <c r="B24" s="26" t="s">
        <v>75</v>
      </c>
      <c r="C24" s="121">
        <v>500000</v>
      </c>
      <c r="D24" s="121">
        <f>C24*10</f>
        <v>5000000</v>
      </c>
      <c r="E24" s="121">
        <f>NPV(0.06,C24*10)</f>
        <v>4716981.1320754718</v>
      </c>
    </row>
    <row r="25" spans="1:5" s="27" customFormat="1" x14ac:dyDescent="0.25">
      <c r="A25" s="25"/>
      <c r="B25" s="29"/>
      <c r="C25" s="121"/>
      <c r="D25" s="121"/>
      <c r="E25" s="121"/>
    </row>
    <row r="26" spans="1:5" s="31" customFormat="1" x14ac:dyDescent="0.25">
      <c r="B26" s="32" t="s">
        <v>76</v>
      </c>
      <c r="C26" s="122">
        <f>+C17+C22+C8</f>
        <v>39360000</v>
      </c>
      <c r="D26" s="122">
        <f>+D17+D22+D8</f>
        <v>161365494.82999998</v>
      </c>
      <c r="E26" s="122">
        <f>+E17+E22+E8</f>
        <v>152231598.89622641</v>
      </c>
    </row>
  </sheetData>
  <mergeCells count="1">
    <mergeCell ref="A5:B5"/>
  </mergeCells>
  <pageMargins left="0.7" right="0.7" top="0.75" bottom="0.75" header="0.3" footer="0.3"/>
  <pageSetup scale="9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35"/>
  <sheetViews>
    <sheetView topLeftCell="B22" zoomScaleNormal="100" workbookViewId="0">
      <selection activeCell="Q45" sqref="O45:Q54"/>
    </sheetView>
  </sheetViews>
  <sheetFormatPr defaultRowHeight="15" x14ac:dyDescent="0.25"/>
  <cols>
    <col min="1" max="1" width="28.85546875" customWidth="1"/>
    <col min="2" max="3" width="21.5703125" style="1" customWidth="1"/>
    <col min="4" max="4" width="14.7109375" style="1" bestFit="1" customWidth="1"/>
    <col min="5" max="14" width="14.28515625" style="1" bestFit="1" customWidth="1"/>
    <col min="15" max="17" width="15.28515625" style="1" bestFit="1" customWidth="1"/>
    <col min="18" max="18" width="16.5703125" style="1" bestFit="1" customWidth="1"/>
    <col min="19" max="20" width="18.140625" style="1" customWidth="1"/>
    <col min="21" max="22" width="18.140625" customWidth="1"/>
    <col min="23" max="23" width="17.28515625" bestFit="1" customWidth="1"/>
  </cols>
  <sheetData>
    <row r="2" spans="1:25" ht="15.75" x14ac:dyDescent="0.25">
      <c r="A2" s="40" t="s">
        <v>112</v>
      </c>
    </row>
    <row r="4" spans="1:25" x14ac:dyDescent="0.25">
      <c r="A4" s="8" t="s">
        <v>19</v>
      </c>
    </row>
    <row r="5" spans="1:25" x14ac:dyDescent="0.25">
      <c r="B5" s="6" t="s">
        <v>20</v>
      </c>
      <c r="C5" s="5">
        <v>2021</v>
      </c>
      <c r="D5" s="5">
        <v>2022</v>
      </c>
      <c r="E5" s="5">
        <v>2023</v>
      </c>
      <c r="F5" s="5">
        <v>2024</v>
      </c>
      <c r="G5" s="5">
        <v>2025</v>
      </c>
      <c r="H5" s="5">
        <v>2026</v>
      </c>
      <c r="I5" s="5">
        <v>2027</v>
      </c>
      <c r="J5" s="5">
        <v>2028</v>
      </c>
      <c r="K5" s="5">
        <v>2029</v>
      </c>
      <c r="L5" s="5">
        <v>2030</v>
      </c>
      <c r="M5" s="5">
        <v>2031</v>
      </c>
      <c r="N5" s="5">
        <v>2032</v>
      </c>
      <c r="O5" s="5">
        <v>2033</v>
      </c>
      <c r="P5" s="5">
        <v>2034</v>
      </c>
      <c r="Q5" s="5">
        <v>2035</v>
      </c>
    </row>
    <row r="6" spans="1:25" s="2" customFormat="1" x14ac:dyDescent="0.25">
      <c r="B6" s="3" t="s">
        <v>0</v>
      </c>
      <c r="C6" s="3" t="s">
        <v>1</v>
      </c>
      <c r="D6" s="3" t="s">
        <v>2</v>
      </c>
      <c r="E6" s="3" t="s">
        <v>3</v>
      </c>
      <c r="F6" s="3" t="s">
        <v>4</v>
      </c>
      <c r="G6" s="3" t="s">
        <v>5</v>
      </c>
      <c r="H6" s="3" t="s">
        <v>6</v>
      </c>
      <c r="I6" s="3" t="s">
        <v>7</v>
      </c>
      <c r="J6" s="3" t="s">
        <v>8</v>
      </c>
      <c r="K6" s="3" t="s">
        <v>9</v>
      </c>
      <c r="L6" s="3" t="s">
        <v>10</v>
      </c>
      <c r="M6" s="3" t="s">
        <v>11</v>
      </c>
      <c r="N6" s="3" t="s">
        <v>12</v>
      </c>
      <c r="O6" s="3" t="s">
        <v>13</v>
      </c>
      <c r="P6" s="4" t="s">
        <v>14</v>
      </c>
      <c r="Q6" s="4" t="s">
        <v>15</v>
      </c>
      <c r="R6" s="3" t="s">
        <v>17</v>
      </c>
      <c r="S6" s="3" t="s">
        <v>18</v>
      </c>
    </row>
    <row r="7" spans="1:25" x14ac:dyDescent="0.25">
      <c r="A7" t="s">
        <v>16</v>
      </c>
      <c r="B7" s="1">
        <v>500000</v>
      </c>
      <c r="C7" s="1">
        <v>500000</v>
      </c>
      <c r="D7" s="1">
        <v>500000</v>
      </c>
      <c r="E7" s="1">
        <v>500000</v>
      </c>
      <c r="F7" s="1">
        <v>500000</v>
      </c>
      <c r="G7" s="1">
        <v>600000</v>
      </c>
      <c r="H7" s="1">
        <v>600000</v>
      </c>
      <c r="I7" s="1">
        <v>600000</v>
      </c>
      <c r="J7" s="1">
        <v>600000</v>
      </c>
      <c r="K7" s="1">
        <v>600000</v>
      </c>
      <c r="L7" s="1">
        <v>600000</v>
      </c>
      <c r="M7" s="1">
        <v>380000</v>
      </c>
      <c r="N7" s="1">
        <v>380000</v>
      </c>
      <c r="O7" s="1">
        <v>380000</v>
      </c>
      <c r="P7" s="1">
        <v>380000</v>
      </c>
      <c r="Q7" s="1">
        <v>380000</v>
      </c>
      <c r="R7" s="1">
        <f>SUM(B7:Q7)</f>
        <v>8000000</v>
      </c>
      <c r="S7" s="1">
        <v>8000000</v>
      </c>
    </row>
    <row r="8" spans="1:25" x14ac:dyDescent="0.25">
      <c r="A8" t="s">
        <v>21</v>
      </c>
      <c r="B8" s="7">
        <f>600*B7</f>
        <v>300000000</v>
      </c>
      <c r="C8" s="7">
        <f t="shared" ref="C8:Q8" si="0">600*C7</f>
        <v>300000000</v>
      </c>
      <c r="D8" s="7">
        <f t="shared" si="0"/>
        <v>300000000</v>
      </c>
      <c r="E8" s="7">
        <f t="shared" si="0"/>
        <v>300000000</v>
      </c>
      <c r="F8" s="7">
        <f t="shared" si="0"/>
        <v>300000000</v>
      </c>
      <c r="G8" s="7">
        <f t="shared" si="0"/>
        <v>360000000</v>
      </c>
      <c r="H8" s="7">
        <f t="shared" si="0"/>
        <v>360000000</v>
      </c>
      <c r="I8" s="7">
        <f t="shared" si="0"/>
        <v>360000000</v>
      </c>
      <c r="J8" s="7">
        <f t="shared" si="0"/>
        <v>360000000</v>
      </c>
      <c r="K8" s="7">
        <f t="shared" si="0"/>
        <v>360000000</v>
      </c>
      <c r="L8" s="7">
        <f t="shared" si="0"/>
        <v>360000000</v>
      </c>
      <c r="M8" s="7">
        <f t="shared" si="0"/>
        <v>228000000</v>
      </c>
      <c r="N8" s="7">
        <f t="shared" si="0"/>
        <v>228000000</v>
      </c>
      <c r="O8" s="7">
        <f t="shared" si="0"/>
        <v>228000000</v>
      </c>
      <c r="P8" s="7">
        <f t="shared" si="0"/>
        <v>228000000</v>
      </c>
      <c r="Q8" s="7">
        <f t="shared" si="0"/>
        <v>228000000</v>
      </c>
      <c r="R8" s="7">
        <f>SUM(B8:Q8)</f>
        <v>4800000000</v>
      </c>
    </row>
    <row r="9" spans="1:25" x14ac:dyDescent="0.25">
      <c r="A9" t="s">
        <v>22</v>
      </c>
      <c r="B9" s="1">
        <v>2500</v>
      </c>
      <c r="C9" s="1">
        <f>ROUND(C7/160,1)</f>
        <v>3125</v>
      </c>
      <c r="D9" s="1">
        <f t="shared" ref="D9:Q9" si="1">ROUND(D7/160,1)</f>
        <v>3125</v>
      </c>
      <c r="E9" s="1">
        <f t="shared" si="1"/>
        <v>3125</v>
      </c>
      <c r="F9" s="1">
        <f t="shared" si="1"/>
        <v>3125</v>
      </c>
      <c r="G9" s="1">
        <f t="shared" si="1"/>
        <v>3750</v>
      </c>
      <c r="H9" s="1">
        <f t="shared" si="1"/>
        <v>3750</v>
      </c>
      <c r="I9" s="1">
        <f t="shared" si="1"/>
        <v>3750</v>
      </c>
      <c r="J9" s="1">
        <f t="shared" si="1"/>
        <v>3750</v>
      </c>
      <c r="K9" s="1">
        <f t="shared" si="1"/>
        <v>3750</v>
      </c>
      <c r="L9" s="1">
        <f t="shared" si="1"/>
        <v>3750</v>
      </c>
      <c r="M9" s="1">
        <f t="shared" si="1"/>
        <v>2375</v>
      </c>
      <c r="N9" s="1">
        <f t="shared" si="1"/>
        <v>2375</v>
      </c>
      <c r="O9" s="1">
        <f t="shared" si="1"/>
        <v>2375</v>
      </c>
      <c r="P9" s="1">
        <f t="shared" si="1"/>
        <v>2375</v>
      </c>
      <c r="Q9" s="1">
        <f t="shared" si="1"/>
        <v>2375</v>
      </c>
      <c r="R9" s="1">
        <f>SUM(B9:Q9)</f>
        <v>49375</v>
      </c>
      <c r="S9" s="1">
        <v>50000</v>
      </c>
    </row>
    <row r="10" spans="1:25" x14ac:dyDescent="0.25">
      <c r="A10" t="s">
        <v>23</v>
      </c>
      <c r="B10" s="7">
        <f>B9*100000</f>
        <v>250000000</v>
      </c>
      <c r="C10" s="7">
        <f t="shared" ref="C10:Q10" si="2">C9*100000</f>
        <v>312500000</v>
      </c>
      <c r="D10" s="7">
        <f t="shared" si="2"/>
        <v>312500000</v>
      </c>
      <c r="E10" s="7">
        <f t="shared" si="2"/>
        <v>312500000</v>
      </c>
      <c r="F10" s="7">
        <f t="shared" si="2"/>
        <v>312500000</v>
      </c>
      <c r="G10" s="7">
        <f t="shared" si="2"/>
        <v>375000000</v>
      </c>
      <c r="H10" s="7">
        <f t="shared" si="2"/>
        <v>375000000</v>
      </c>
      <c r="I10" s="7">
        <f t="shared" si="2"/>
        <v>375000000</v>
      </c>
      <c r="J10" s="7">
        <f t="shared" si="2"/>
        <v>375000000</v>
      </c>
      <c r="K10" s="7">
        <f t="shared" si="2"/>
        <v>375000000</v>
      </c>
      <c r="L10" s="7">
        <f t="shared" si="2"/>
        <v>375000000</v>
      </c>
      <c r="M10" s="7">
        <f t="shared" si="2"/>
        <v>237500000</v>
      </c>
      <c r="N10" s="7">
        <f t="shared" si="2"/>
        <v>237500000</v>
      </c>
      <c r="O10" s="7">
        <f t="shared" si="2"/>
        <v>237500000</v>
      </c>
      <c r="P10" s="7">
        <f t="shared" si="2"/>
        <v>237500000</v>
      </c>
      <c r="Q10" s="7">
        <f t="shared" si="2"/>
        <v>237500000</v>
      </c>
      <c r="R10" s="7">
        <f>R9*100000</f>
        <v>4937500000</v>
      </c>
    </row>
    <row r="12" spans="1:25" s="1" customFormat="1" x14ac:dyDescent="0.25">
      <c r="A12" s="8" t="s">
        <v>24</v>
      </c>
      <c r="U12"/>
      <c r="V12"/>
      <c r="W12"/>
      <c r="X12"/>
      <c r="Y12"/>
    </row>
    <row r="13" spans="1:25" s="1" customFormat="1" x14ac:dyDescent="0.25">
      <c r="A13"/>
      <c r="B13" s="6" t="s">
        <v>20</v>
      </c>
      <c r="C13" s="5">
        <v>2021</v>
      </c>
      <c r="D13" s="5">
        <v>2022</v>
      </c>
      <c r="E13" s="5">
        <v>2023</v>
      </c>
      <c r="F13" s="5">
        <v>2024</v>
      </c>
      <c r="G13" s="5">
        <v>2025</v>
      </c>
      <c r="H13" s="5">
        <v>2026</v>
      </c>
      <c r="I13" s="5">
        <v>2027</v>
      </c>
      <c r="J13" s="5">
        <v>2028</v>
      </c>
      <c r="K13" s="5">
        <v>2029</v>
      </c>
      <c r="L13" s="5">
        <v>2030</v>
      </c>
      <c r="M13" s="5">
        <v>2031</v>
      </c>
      <c r="N13" s="5">
        <v>2032</v>
      </c>
      <c r="O13" s="5">
        <v>2033</v>
      </c>
      <c r="P13" s="5">
        <v>2034</v>
      </c>
      <c r="Q13" s="5">
        <v>2035</v>
      </c>
      <c r="U13"/>
      <c r="V13"/>
      <c r="W13"/>
      <c r="X13"/>
      <c r="Y13"/>
    </row>
    <row r="14" spans="1:25" s="1" customFormat="1" x14ac:dyDescent="0.25">
      <c r="A14" s="2"/>
      <c r="B14" s="3" t="s">
        <v>0</v>
      </c>
      <c r="C14" s="3" t="s">
        <v>1</v>
      </c>
      <c r="D14" s="3" t="s">
        <v>2</v>
      </c>
      <c r="E14" s="3" t="s">
        <v>3</v>
      </c>
      <c r="F14" s="3" t="s">
        <v>4</v>
      </c>
      <c r="G14" s="3" t="s">
        <v>5</v>
      </c>
      <c r="H14" s="3" t="s">
        <v>6</v>
      </c>
      <c r="I14" s="3" t="s">
        <v>7</v>
      </c>
      <c r="J14" s="3" t="s">
        <v>8</v>
      </c>
      <c r="K14" s="3" t="s">
        <v>9</v>
      </c>
      <c r="L14" s="3" t="s">
        <v>10</v>
      </c>
      <c r="M14" s="3" t="s">
        <v>11</v>
      </c>
      <c r="N14" s="3" t="s">
        <v>12</v>
      </c>
      <c r="O14" s="3" t="s">
        <v>13</v>
      </c>
      <c r="P14" s="4" t="s">
        <v>14</v>
      </c>
      <c r="Q14" s="4" t="s">
        <v>15</v>
      </c>
      <c r="R14" s="3"/>
      <c r="S14" s="3"/>
      <c r="U14"/>
      <c r="V14"/>
      <c r="W14"/>
      <c r="X14"/>
      <c r="Y14"/>
    </row>
    <row r="15" spans="1:25" s="1" customFormat="1" x14ac:dyDescent="0.25">
      <c r="A15" t="s">
        <v>16</v>
      </c>
      <c r="B15" s="1">
        <v>500000</v>
      </c>
      <c r="C15" s="1">
        <f t="shared" ref="C15:Q15" si="3">B15+C7</f>
        <v>1000000</v>
      </c>
      <c r="D15" s="1">
        <f t="shared" si="3"/>
        <v>1500000</v>
      </c>
      <c r="E15" s="1">
        <f t="shared" si="3"/>
        <v>2000000</v>
      </c>
      <c r="F15" s="1">
        <f t="shared" si="3"/>
        <v>2500000</v>
      </c>
      <c r="G15" s="1">
        <f t="shared" si="3"/>
        <v>3100000</v>
      </c>
      <c r="H15" s="1">
        <f t="shared" si="3"/>
        <v>3700000</v>
      </c>
      <c r="I15" s="1">
        <f t="shared" si="3"/>
        <v>4300000</v>
      </c>
      <c r="J15" s="1">
        <f t="shared" si="3"/>
        <v>4900000</v>
      </c>
      <c r="K15" s="1">
        <f t="shared" si="3"/>
        <v>5500000</v>
      </c>
      <c r="L15" s="1">
        <f t="shared" si="3"/>
        <v>6100000</v>
      </c>
      <c r="M15" s="1">
        <f t="shared" si="3"/>
        <v>6480000</v>
      </c>
      <c r="N15" s="1">
        <f t="shared" si="3"/>
        <v>6860000</v>
      </c>
      <c r="O15" s="1">
        <f t="shared" si="3"/>
        <v>7240000</v>
      </c>
      <c r="P15" s="1">
        <f t="shared" si="3"/>
        <v>7620000</v>
      </c>
      <c r="Q15" s="1">
        <f t="shared" si="3"/>
        <v>8000000</v>
      </c>
      <c r="U15"/>
      <c r="V15"/>
      <c r="W15"/>
      <c r="X15"/>
      <c r="Y15"/>
    </row>
    <row r="16" spans="1:25" s="1" customFormat="1" x14ac:dyDescent="0.25">
      <c r="A16" t="s">
        <v>21</v>
      </c>
      <c r="B16" s="7">
        <f>600*B15</f>
        <v>300000000</v>
      </c>
      <c r="C16" s="1">
        <f t="shared" ref="C16:Q16" si="4">B16+C8</f>
        <v>600000000</v>
      </c>
      <c r="D16" s="1">
        <f t="shared" si="4"/>
        <v>900000000</v>
      </c>
      <c r="E16" s="1">
        <f t="shared" si="4"/>
        <v>1200000000</v>
      </c>
      <c r="F16" s="1">
        <f t="shared" si="4"/>
        <v>1500000000</v>
      </c>
      <c r="G16" s="1">
        <f t="shared" si="4"/>
        <v>1860000000</v>
      </c>
      <c r="H16" s="1">
        <f t="shared" si="4"/>
        <v>2220000000</v>
      </c>
      <c r="I16" s="1">
        <f t="shared" si="4"/>
        <v>2580000000</v>
      </c>
      <c r="J16" s="1">
        <f t="shared" si="4"/>
        <v>2940000000</v>
      </c>
      <c r="K16" s="1">
        <f t="shared" si="4"/>
        <v>3300000000</v>
      </c>
      <c r="L16" s="1">
        <f t="shared" si="4"/>
        <v>3660000000</v>
      </c>
      <c r="M16" s="1">
        <f t="shared" si="4"/>
        <v>3888000000</v>
      </c>
      <c r="N16" s="1">
        <f t="shared" si="4"/>
        <v>4116000000</v>
      </c>
      <c r="O16" s="1">
        <f t="shared" si="4"/>
        <v>4344000000</v>
      </c>
      <c r="P16" s="1">
        <f t="shared" si="4"/>
        <v>4572000000</v>
      </c>
      <c r="Q16" s="1">
        <f t="shared" si="4"/>
        <v>4800000000</v>
      </c>
      <c r="R16" s="7"/>
      <c r="U16"/>
      <c r="V16"/>
      <c r="W16"/>
      <c r="X16"/>
      <c r="Y16"/>
    </row>
    <row r="17" spans="1:25" s="1" customFormat="1" x14ac:dyDescent="0.25">
      <c r="A17" t="s">
        <v>22</v>
      </c>
      <c r="B17" s="1">
        <v>2500</v>
      </c>
      <c r="C17" s="1">
        <f t="shared" ref="C17:Q17" si="5">B17+C9</f>
        <v>5625</v>
      </c>
      <c r="D17" s="1">
        <f t="shared" si="5"/>
        <v>8750</v>
      </c>
      <c r="E17" s="1">
        <f t="shared" si="5"/>
        <v>11875</v>
      </c>
      <c r="F17" s="1">
        <f t="shared" si="5"/>
        <v>15000</v>
      </c>
      <c r="G17" s="1">
        <f t="shared" si="5"/>
        <v>18750</v>
      </c>
      <c r="H17" s="1">
        <f t="shared" si="5"/>
        <v>22500</v>
      </c>
      <c r="I17" s="1">
        <f t="shared" si="5"/>
        <v>26250</v>
      </c>
      <c r="J17" s="1">
        <f t="shared" si="5"/>
        <v>30000</v>
      </c>
      <c r="K17" s="1">
        <f t="shared" si="5"/>
        <v>33750</v>
      </c>
      <c r="L17" s="1">
        <f t="shared" si="5"/>
        <v>37500</v>
      </c>
      <c r="M17" s="1">
        <f t="shared" si="5"/>
        <v>39875</v>
      </c>
      <c r="N17" s="1">
        <f t="shared" si="5"/>
        <v>42250</v>
      </c>
      <c r="O17" s="1">
        <f t="shared" si="5"/>
        <v>44625</v>
      </c>
      <c r="P17" s="1">
        <f t="shared" si="5"/>
        <v>47000</v>
      </c>
      <c r="Q17" s="1">
        <f t="shared" si="5"/>
        <v>49375</v>
      </c>
      <c r="U17"/>
      <c r="V17"/>
      <c r="W17"/>
      <c r="X17"/>
      <c r="Y17"/>
    </row>
    <row r="18" spans="1:25" s="1" customFormat="1" x14ac:dyDescent="0.25">
      <c r="A18" t="s">
        <v>23</v>
      </c>
      <c r="B18" s="7">
        <f>B17*100000</f>
        <v>250000000</v>
      </c>
      <c r="C18" s="1">
        <f t="shared" ref="C18:Q18" si="6">B18+C10</f>
        <v>562500000</v>
      </c>
      <c r="D18" s="1">
        <f t="shared" si="6"/>
        <v>875000000</v>
      </c>
      <c r="E18" s="1">
        <f t="shared" si="6"/>
        <v>1187500000</v>
      </c>
      <c r="F18" s="1">
        <f t="shared" si="6"/>
        <v>1500000000</v>
      </c>
      <c r="G18" s="1">
        <f t="shared" si="6"/>
        <v>1875000000</v>
      </c>
      <c r="H18" s="1">
        <f t="shared" si="6"/>
        <v>2250000000</v>
      </c>
      <c r="I18" s="1">
        <f t="shared" si="6"/>
        <v>2625000000</v>
      </c>
      <c r="J18" s="1">
        <f t="shared" si="6"/>
        <v>3000000000</v>
      </c>
      <c r="K18" s="1">
        <f t="shared" si="6"/>
        <v>3375000000</v>
      </c>
      <c r="L18" s="1">
        <f t="shared" si="6"/>
        <v>3750000000</v>
      </c>
      <c r="M18" s="1">
        <f t="shared" si="6"/>
        <v>3987500000</v>
      </c>
      <c r="N18" s="1">
        <f t="shared" si="6"/>
        <v>4225000000</v>
      </c>
      <c r="O18" s="1">
        <f t="shared" si="6"/>
        <v>4462500000</v>
      </c>
      <c r="P18" s="1">
        <f t="shared" si="6"/>
        <v>4700000000</v>
      </c>
      <c r="Q18" s="1">
        <f t="shared" si="6"/>
        <v>4937500000</v>
      </c>
      <c r="R18" s="7"/>
      <c r="U18"/>
      <c r="V18"/>
      <c r="W18"/>
      <c r="X18"/>
      <c r="Y18"/>
    </row>
    <row r="25" spans="1:25" x14ac:dyDescent="0.25">
      <c r="A25" s="8" t="s">
        <v>113</v>
      </c>
    </row>
    <row r="26" spans="1:25" x14ac:dyDescent="0.25">
      <c r="A26" s="123"/>
      <c r="B26" s="124"/>
      <c r="C26" s="125"/>
      <c r="D26" s="125"/>
      <c r="E26" s="125"/>
      <c r="F26" s="125"/>
      <c r="G26" s="125"/>
      <c r="H26" s="125"/>
      <c r="I26" s="125"/>
      <c r="J26" s="125"/>
      <c r="K26" s="125"/>
      <c r="L26" s="125"/>
      <c r="M26" s="125"/>
      <c r="N26" s="125"/>
      <c r="O26" s="125"/>
      <c r="P26" s="125"/>
      <c r="Q26" s="125"/>
      <c r="R26" s="125"/>
      <c r="S26" s="125"/>
      <c r="T26" s="125"/>
      <c r="U26" s="126"/>
      <c r="V26" s="126"/>
    </row>
    <row r="27" spans="1:25" s="44" customFormat="1" x14ac:dyDescent="0.25">
      <c r="A27" s="126"/>
      <c r="B27" s="127">
        <v>2019</v>
      </c>
      <c r="C27" s="127">
        <v>2020</v>
      </c>
      <c r="D27" s="127">
        <v>2021</v>
      </c>
      <c r="E27" s="127">
        <v>2022</v>
      </c>
      <c r="F27" s="127">
        <v>2023</v>
      </c>
      <c r="G27" s="127">
        <v>2024</v>
      </c>
      <c r="H27" s="127">
        <v>2025</v>
      </c>
      <c r="I27" s="127">
        <v>2026</v>
      </c>
      <c r="J27" s="127">
        <v>2027</v>
      </c>
      <c r="K27" s="127">
        <v>2028</v>
      </c>
      <c r="L27" s="127">
        <v>2029</v>
      </c>
      <c r="M27" s="127">
        <v>2030</v>
      </c>
      <c r="N27" s="127">
        <v>2031</v>
      </c>
      <c r="O27" s="127"/>
      <c r="P27" s="127"/>
      <c r="Q27" s="127"/>
      <c r="R27" s="127"/>
      <c r="S27" s="127"/>
      <c r="T27" s="127"/>
      <c r="U27" s="127"/>
      <c r="V27" s="127"/>
      <c r="W27" s="45"/>
      <c r="X27" s="45"/>
      <c r="Y27" s="45"/>
    </row>
    <row r="28" spans="1:25" x14ac:dyDescent="0.25">
      <c r="A28" s="16" t="s">
        <v>114</v>
      </c>
      <c r="B28" s="116">
        <v>100000000</v>
      </c>
      <c r="C28" s="11"/>
      <c r="D28" s="11"/>
      <c r="E28" s="11"/>
      <c r="F28" s="11"/>
      <c r="G28" s="11"/>
      <c r="H28" s="11"/>
      <c r="I28" s="9"/>
      <c r="J28" s="9"/>
      <c r="K28" s="9"/>
      <c r="L28" s="9"/>
      <c r="M28" s="9"/>
      <c r="N28" s="11"/>
      <c r="O28" s="132"/>
      <c r="P28" s="132"/>
      <c r="Q28" s="132"/>
      <c r="R28" s="132"/>
      <c r="S28" s="132"/>
      <c r="T28" s="132"/>
      <c r="U28" s="132"/>
      <c r="V28" s="132"/>
    </row>
    <row r="29" spans="1:25" x14ac:dyDescent="0.25">
      <c r="A29" s="13" t="s">
        <v>173</v>
      </c>
      <c r="B29" s="11"/>
      <c r="C29" s="11"/>
      <c r="D29" s="11"/>
      <c r="E29" s="11"/>
      <c r="F29" s="11"/>
      <c r="G29" s="11"/>
      <c r="H29" s="11"/>
      <c r="I29" s="9"/>
      <c r="J29" s="9"/>
      <c r="K29" s="9"/>
      <c r="L29" s="9"/>
      <c r="M29" s="9"/>
      <c r="N29" s="11"/>
      <c r="O29" s="9"/>
      <c r="P29" s="9"/>
      <c r="Q29" s="9"/>
      <c r="R29" s="9"/>
      <c r="S29" s="9"/>
      <c r="T29" s="9"/>
      <c r="U29" s="9"/>
      <c r="V29" s="9"/>
    </row>
    <row r="31" spans="1:25" ht="31.5" x14ac:dyDescent="0.25">
      <c r="A31" s="40"/>
      <c r="B31" s="41" t="s">
        <v>55</v>
      </c>
      <c r="C31" s="41" t="s">
        <v>45</v>
      </c>
      <c r="D31" s="41" t="s">
        <v>44</v>
      </c>
    </row>
    <row r="32" spans="1:25" ht="15.75" x14ac:dyDescent="0.25">
      <c r="A32" s="43" t="s">
        <v>107</v>
      </c>
      <c r="B32" s="118">
        <f>SUM(B28:N28)</f>
        <v>100000000</v>
      </c>
      <c r="C32" s="118">
        <f>NPV(D32,B28)</f>
        <v>94339622.641509429</v>
      </c>
      <c r="D32" s="117">
        <v>0.06</v>
      </c>
    </row>
    <row r="35" spans="23:23" x14ac:dyDescent="0.25">
      <c r="W35" s="12"/>
    </row>
  </sheetData>
  <pageMargins left="0.7" right="0.7" top="0.75" bottom="0.75" header="0.3" footer="0.3"/>
  <pageSetup paperSize="11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33"/>
  <sheetViews>
    <sheetView zoomScaleNormal="100" workbookViewId="0">
      <selection activeCell="J26" sqref="J26"/>
    </sheetView>
  </sheetViews>
  <sheetFormatPr defaultRowHeight="15" x14ac:dyDescent="0.25"/>
  <cols>
    <col min="1" max="1" width="28.85546875" customWidth="1"/>
    <col min="2" max="3" width="19.7109375" style="1" customWidth="1"/>
    <col min="4" max="4" width="16.140625" style="1" bestFit="1" customWidth="1"/>
    <col min="5" max="17" width="15.28515625" style="1" bestFit="1" customWidth="1"/>
    <col min="18" max="18" width="13.85546875" style="1" bestFit="1" customWidth="1"/>
    <col min="19" max="20" width="18.140625" style="1" customWidth="1"/>
    <col min="21" max="22" width="18.140625" customWidth="1"/>
    <col min="23" max="23" width="17.28515625" bestFit="1" customWidth="1"/>
  </cols>
  <sheetData>
    <row r="2" spans="1:25" ht="15.75" x14ac:dyDescent="0.25">
      <c r="A2" s="40" t="s">
        <v>112</v>
      </c>
    </row>
    <row r="5" spans="1:25" s="1" customFormat="1" x14ac:dyDescent="0.25">
      <c r="A5" s="8" t="s">
        <v>19</v>
      </c>
      <c r="U5"/>
      <c r="V5"/>
      <c r="W5"/>
      <c r="X5"/>
      <c r="Y5"/>
    </row>
    <row r="6" spans="1:25" s="1" customFormat="1" x14ac:dyDescent="0.25">
      <c r="A6"/>
      <c r="B6" s="6" t="s">
        <v>20</v>
      </c>
      <c r="C6" s="5">
        <v>2021</v>
      </c>
      <c r="D6" s="5">
        <v>2022</v>
      </c>
      <c r="E6" s="5">
        <v>2023</v>
      </c>
      <c r="F6" s="5">
        <v>2024</v>
      </c>
      <c r="G6" s="5">
        <v>2025</v>
      </c>
      <c r="H6" s="5">
        <v>2026</v>
      </c>
      <c r="I6" s="5">
        <v>2027</v>
      </c>
      <c r="J6" s="5">
        <v>2028</v>
      </c>
      <c r="K6" s="5">
        <v>2029</v>
      </c>
      <c r="L6" s="5">
        <v>2030</v>
      </c>
      <c r="M6" s="5">
        <v>2031</v>
      </c>
      <c r="N6" s="5">
        <v>2032</v>
      </c>
      <c r="O6" s="5">
        <v>2033</v>
      </c>
      <c r="P6" s="5">
        <v>2034</v>
      </c>
      <c r="Q6" s="5">
        <v>2035</v>
      </c>
      <c r="U6"/>
      <c r="V6"/>
      <c r="W6"/>
      <c r="X6"/>
      <c r="Y6"/>
    </row>
    <row r="7" spans="1:25" s="2" customFormat="1" x14ac:dyDescent="0.25">
      <c r="B7" s="3" t="s">
        <v>0</v>
      </c>
      <c r="C7" s="3" t="s">
        <v>1</v>
      </c>
      <c r="D7" s="3" t="s">
        <v>2</v>
      </c>
      <c r="E7" s="3" t="s">
        <v>3</v>
      </c>
      <c r="F7" s="3" t="s">
        <v>4</v>
      </c>
      <c r="G7" s="3" t="s">
        <v>5</v>
      </c>
      <c r="H7" s="3" t="s">
        <v>6</v>
      </c>
      <c r="I7" s="3" t="s">
        <v>7</v>
      </c>
      <c r="J7" s="3" t="s">
        <v>8</v>
      </c>
      <c r="K7" s="3" t="s">
        <v>9</v>
      </c>
      <c r="L7" s="3" t="s">
        <v>10</v>
      </c>
      <c r="M7" s="3" t="s">
        <v>11</v>
      </c>
      <c r="N7" s="3" t="s">
        <v>12</v>
      </c>
      <c r="O7" s="3" t="s">
        <v>13</v>
      </c>
      <c r="P7" s="4" t="s">
        <v>14</v>
      </c>
      <c r="Q7" s="4" t="s">
        <v>15</v>
      </c>
      <c r="R7" s="3" t="s">
        <v>17</v>
      </c>
      <c r="S7" s="3" t="s">
        <v>18</v>
      </c>
    </row>
    <row r="8" spans="1:25" s="1" customFormat="1" x14ac:dyDescent="0.25">
      <c r="A8" t="s">
        <v>16</v>
      </c>
      <c r="B8" s="1">
        <v>500000</v>
      </c>
      <c r="C8" s="1">
        <v>500000</v>
      </c>
      <c r="D8" s="1">
        <v>500000</v>
      </c>
      <c r="E8" s="1">
        <v>500000</v>
      </c>
      <c r="F8" s="1">
        <v>500000</v>
      </c>
      <c r="G8" s="1">
        <v>600000</v>
      </c>
      <c r="H8" s="1">
        <v>600000</v>
      </c>
      <c r="I8" s="1">
        <v>600000</v>
      </c>
      <c r="J8" s="1">
        <v>600000</v>
      </c>
      <c r="K8" s="1">
        <v>600000</v>
      </c>
      <c r="L8" s="1">
        <v>600000</v>
      </c>
      <c r="M8" s="1">
        <v>380000</v>
      </c>
      <c r="N8" s="1">
        <v>380000</v>
      </c>
      <c r="O8" s="1">
        <v>380000</v>
      </c>
      <c r="P8" s="1">
        <v>380000</v>
      </c>
      <c r="Q8" s="1">
        <v>380000</v>
      </c>
      <c r="R8" s="1">
        <f>SUM(B8:Q8)</f>
        <v>8000000</v>
      </c>
      <c r="S8" s="1">
        <v>8000000</v>
      </c>
      <c r="U8"/>
      <c r="V8"/>
      <c r="W8"/>
      <c r="X8"/>
      <c r="Y8"/>
    </row>
    <row r="9" spans="1:25" s="1" customFormat="1" x14ac:dyDescent="0.25">
      <c r="A9" t="s">
        <v>21</v>
      </c>
      <c r="B9" s="7">
        <f>600*B8</f>
        <v>300000000</v>
      </c>
      <c r="C9" s="7">
        <f t="shared" ref="C9:Q9" si="0">600*C8</f>
        <v>300000000</v>
      </c>
      <c r="D9" s="7">
        <f t="shared" si="0"/>
        <v>300000000</v>
      </c>
      <c r="E9" s="7">
        <f t="shared" si="0"/>
        <v>300000000</v>
      </c>
      <c r="F9" s="7">
        <f t="shared" si="0"/>
        <v>300000000</v>
      </c>
      <c r="G9" s="7">
        <f t="shared" si="0"/>
        <v>360000000</v>
      </c>
      <c r="H9" s="7">
        <f t="shared" si="0"/>
        <v>360000000</v>
      </c>
      <c r="I9" s="7">
        <f t="shared" si="0"/>
        <v>360000000</v>
      </c>
      <c r="J9" s="7">
        <f t="shared" si="0"/>
        <v>360000000</v>
      </c>
      <c r="K9" s="7">
        <f t="shared" si="0"/>
        <v>360000000</v>
      </c>
      <c r="L9" s="7">
        <f t="shared" si="0"/>
        <v>360000000</v>
      </c>
      <c r="M9" s="7">
        <f t="shared" si="0"/>
        <v>228000000</v>
      </c>
      <c r="N9" s="7">
        <f t="shared" si="0"/>
        <v>228000000</v>
      </c>
      <c r="O9" s="7">
        <f t="shared" si="0"/>
        <v>228000000</v>
      </c>
      <c r="P9" s="7">
        <f t="shared" si="0"/>
        <v>228000000</v>
      </c>
      <c r="Q9" s="7">
        <f t="shared" si="0"/>
        <v>228000000</v>
      </c>
      <c r="R9" s="7">
        <f>SUM(B9:Q9)</f>
        <v>4800000000</v>
      </c>
      <c r="U9"/>
      <c r="V9"/>
      <c r="W9"/>
      <c r="X9"/>
      <c r="Y9"/>
    </row>
    <row r="10" spans="1:25" s="1" customFormat="1" x14ac:dyDescent="0.25">
      <c r="A10" t="s">
        <v>22</v>
      </c>
      <c r="B10" s="1">
        <v>2500</v>
      </c>
      <c r="C10" s="1">
        <f>ROUND(C8/160,1)</f>
        <v>3125</v>
      </c>
      <c r="D10" s="1">
        <f t="shared" ref="D10:Q10" si="1">ROUND(D8/160,1)</f>
        <v>3125</v>
      </c>
      <c r="E10" s="1">
        <f t="shared" si="1"/>
        <v>3125</v>
      </c>
      <c r="F10" s="1">
        <f t="shared" si="1"/>
        <v>3125</v>
      </c>
      <c r="G10" s="1">
        <f t="shared" si="1"/>
        <v>3750</v>
      </c>
      <c r="H10" s="1">
        <f t="shared" si="1"/>
        <v>3750</v>
      </c>
      <c r="I10" s="1">
        <f t="shared" si="1"/>
        <v>3750</v>
      </c>
      <c r="J10" s="1">
        <f t="shared" si="1"/>
        <v>3750</v>
      </c>
      <c r="K10" s="1">
        <f t="shared" si="1"/>
        <v>3750</v>
      </c>
      <c r="L10" s="1">
        <f t="shared" si="1"/>
        <v>3750</v>
      </c>
      <c r="M10" s="1">
        <f t="shared" si="1"/>
        <v>2375</v>
      </c>
      <c r="N10" s="1">
        <f t="shared" si="1"/>
        <v>2375</v>
      </c>
      <c r="O10" s="1">
        <f t="shared" si="1"/>
        <v>2375</v>
      </c>
      <c r="P10" s="1">
        <f t="shared" si="1"/>
        <v>2375</v>
      </c>
      <c r="Q10" s="1">
        <f t="shared" si="1"/>
        <v>2375</v>
      </c>
      <c r="R10" s="1">
        <f>SUM(B10:Q10)</f>
        <v>49375</v>
      </c>
      <c r="S10" s="1">
        <v>50000</v>
      </c>
      <c r="U10"/>
      <c r="V10"/>
      <c r="W10"/>
      <c r="X10"/>
      <c r="Y10"/>
    </row>
    <row r="11" spans="1:25" s="1" customFormat="1" x14ac:dyDescent="0.25">
      <c r="A11" t="s">
        <v>23</v>
      </c>
      <c r="B11" s="7">
        <f>B10*100000</f>
        <v>250000000</v>
      </c>
      <c r="C11" s="7">
        <f t="shared" ref="C11:Q11" si="2">C10*100000</f>
        <v>312500000</v>
      </c>
      <c r="D11" s="7">
        <f t="shared" si="2"/>
        <v>312500000</v>
      </c>
      <c r="E11" s="7">
        <f t="shared" si="2"/>
        <v>312500000</v>
      </c>
      <c r="F11" s="7">
        <f t="shared" si="2"/>
        <v>312500000</v>
      </c>
      <c r="G11" s="7">
        <f t="shared" si="2"/>
        <v>375000000</v>
      </c>
      <c r="H11" s="7">
        <f t="shared" si="2"/>
        <v>375000000</v>
      </c>
      <c r="I11" s="7">
        <f t="shared" si="2"/>
        <v>375000000</v>
      </c>
      <c r="J11" s="7">
        <f t="shared" si="2"/>
        <v>375000000</v>
      </c>
      <c r="K11" s="7">
        <f t="shared" si="2"/>
        <v>375000000</v>
      </c>
      <c r="L11" s="7">
        <f t="shared" si="2"/>
        <v>375000000</v>
      </c>
      <c r="M11" s="7">
        <f t="shared" si="2"/>
        <v>237500000</v>
      </c>
      <c r="N11" s="7">
        <f t="shared" si="2"/>
        <v>237500000</v>
      </c>
      <c r="O11" s="7">
        <f t="shared" si="2"/>
        <v>237500000</v>
      </c>
      <c r="P11" s="7">
        <f t="shared" si="2"/>
        <v>237500000</v>
      </c>
      <c r="Q11" s="7">
        <f t="shared" si="2"/>
        <v>237500000</v>
      </c>
      <c r="R11" s="7">
        <f>R10*100000</f>
        <v>4937500000</v>
      </c>
      <c r="U11"/>
      <c r="V11"/>
      <c r="W11"/>
      <c r="X11"/>
      <c r="Y11"/>
    </row>
    <row r="14" spans="1:25" s="1" customFormat="1" x14ac:dyDescent="0.25">
      <c r="A14" s="31" t="s">
        <v>24</v>
      </c>
      <c r="U14"/>
      <c r="V14"/>
      <c r="W14"/>
      <c r="X14"/>
      <c r="Y14"/>
    </row>
    <row r="15" spans="1:25" s="114" customFormat="1" x14ac:dyDescent="0.25">
      <c r="A15" s="49"/>
      <c r="B15" s="112" t="s">
        <v>20</v>
      </c>
      <c r="C15" s="113">
        <v>2021</v>
      </c>
      <c r="D15" s="113">
        <v>2022</v>
      </c>
      <c r="E15" s="113">
        <v>2023</v>
      </c>
      <c r="F15" s="113">
        <v>2024</v>
      </c>
      <c r="G15" s="113">
        <v>2025</v>
      </c>
      <c r="H15" s="113">
        <v>2026</v>
      </c>
      <c r="I15" s="113">
        <v>2027</v>
      </c>
      <c r="J15" s="113">
        <v>2028</v>
      </c>
      <c r="K15" s="113">
        <v>2029</v>
      </c>
      <c r="L15" s="113">
        <v>2030</v>
      </c>
      <c r="M15" s="113">
        <v>2031</v>
      </c>
      <c r="N15" s="113">
        <v>2032</v>
      </c>
      <c r="O15" s="113">
        <v>2033</v>
      </c>
      <c r="P15" s="113">
        <v>2034</v>
      </c>
      <c r="Q15" s="113">
        <v>2035</v>
      </c>
      <c r="U15" s="49"/>
      <c r="V15" s="49"/>
      <c r="W15" s="49"/>
      <c r="X15" s="49"/>
      <c r="Y15" s="49"/>
    </row>
    <row r="16" spans="1:25" s="1" customFormat="1" x14ac:dyDescent="0.25">
      <c r="A16" s="2"/>
      <c r="B16" s="3" t="s">
        <v>0</v>
      </c>
      <c r="C16" s="3" t="s">
        <v>1</v>
      </c>
      <c r="D16" s="3" t="s">
        <v>2</v>
      </c>
      <c r="E16" s="3" t="s">
        <v>3</v>
      </c>
      <c r="F16" s="3" t="s">
        <v>4</v>
      </c>
      <c r="G16" s="3" t="s">
        <v>5</v>
      </c>
      <c r="H16" s="3" t="s">
        <v>6</v>
      </c>
      <c r="I16" s="3" t="s">
        <v>7</v>
      </c>
      <c r="J16" s="3" t="s">
        <v>8</v>
      </c>
      <c r="K16" s="3" t="s">
        <v>9</v>
      </c>
      <c r="L16" s="3" t="s">
        <v>10</v>
      </c>
      <c r="M16" s="3" t="s">
        <v>11</v>
      </c>
      <c r="N16" s="3" t="s">
        <v>12</v>
      </c>
      <c r="O16" s="3" t="s">
        <v>13</v>
      </c>
      <c r="P16" s="4" t="s">
        <v>14</v>
      </c>
      <c r="Q16" s="4" t="s">
        <v>15</v>
      </c>
      <c r="R16" s="3"/>
      <c r="S16" s="3"/>
      <c r="U16"/>
      <c r="V16"/>
      <c r="W16"/>
      <c r="X16"/>
      <c r="Y16"/>
    </row>
    <row r="17" spans="1:25" s="1" customFormat="1" x14ac:dyDescent="0.25">
      <c r="A17" t="s">
        <v>16</v>
      </c>
      <c r="B17" s="1">
        <v>500000</v>
      </c>
      <c r="C17" s="1">
        <f>B17+C8</f>
        <v>1000000</v>
      </c>
      <c r="D17" s="1">
        <f t="shared" ref="D17:Q20" si="3">C17+D8</f>
        <v>1500000</v>
      </c>
      <c r="E17" s="1">
        <f t="shared" si="3"/>
        <v>2000000</v>
      </c>
      <c r="F17" s="1">
        <f t="shared" si="3"/>
        <v>2500000</v>
      </c>
      <c r="G17" s="1">
        <f t="shared" si="3"/>
        <v>3100000</v>
      </c>
      <c r="H17" s="1">
        <f t="shared" si="3"/>
        <v>3700000</v>
      </c>
      <c r="I17" s="1">
        <f t="shared" si="3"/>
        <v>4300000</v>
      </c>
      <c r="J17" s="1">
        <f t="shared" si="3"/>
        <v>4900000</v>
      </c>
      <c r="K17" s="1">
        <f t="shared" si="3"/>
        <v>5500000</v>
      </c>
      <c r="L17" s="1">
        <f t="shared" si="3"/>
        <v>6100000</v>
      </c>
      <c r="M17" s="1">
        <f t="shared" si="3"/>
        <v>6480000</v>
      </c>
      <c r="N17" s="1">
        <f t="shared" si="3"/>
        <v>6860000</v>
      </c>
      <c r="O17" s="1">
        <f t="shared" si="3"/>
        <v>7240000</v>
      </c>
      <c r="P17" s="1">
        <f t="shared" si="3"/>
        <v>7620000</v>
      </c>
      <c r="Q17" s="1">
        <f t="shared" si="3"/>
        <v>8000000</v>
      </c>
      <c r="U17"/>
      <c r="V17"/>
      <c r="W17"/>
      <c r="X17"/>
      <c r="Y17"/>
    </row>
    <row r="18" spans="1:25" s="116" customFormat="1" x14ac:dyDescent="0.25">
      <c r="A18" t="s">
        <v>21</v>
      </c>
      <c r="B18" s="116">
        <f>600*B17</f>
        <v>300000000</v>
      </c>
      <c r="C18" s="116">
        <f>B18+C9</f>
        <v>600000000</v>
      </c>
      <c r="D18" s="116">
        <f t="shared" si="3"/>
        <v>900000000</v>
      </c>
      <c r="E18" s="116">
        <f t="shared" si="3"/>
        <v>1200000000</v>
      </c>
      <c r="F18" s="116">
        <f t="shared" si="3"/>
        <v>1500000000</v>
      </c>
      <c r="G18" s="116">
        <f t="shared" si="3"/>
        <v>1860000000</v>
      </c>
      <c r="H18" s="116">
        <f t="shared" si="3"/>
        <v>2220000000</v>
      </c>
      <c r="I18" s="116">
        <f t="shared" si="3"/>
        <v>2580000000</v>
      </c>
      <c r="J18" s="116">
        <f t="shared" si="3"/>
        <v>2940000000</v>
      </c>
      <c r="K18" s="116">
        <f t="shared" si="3"/>
        <v>3300000000</v>
      </c>
      <c r="L18" s="116">
        <f t="shared" si="3"/>
        <v>3660000000</v>
      </c>
      <c r="M18" s="116">
        <f t="shared" si="3"/>
        <v>3888000000</v>
      </c>
      <c r="N18" s="116">
        <f t="shared" si="3"/>
        <v>4116000000</v>
      </c>
      <c r="O18" s="116">
        <f t="shared" si="3"/>
        <v>4344000000</v>
      </c>
      <c r="P18" s="116">
        <f t="shared" si="3"/>
        <v>4572000000</v>
      </c>
      <c r="Q18" s="116">
        <f t="shared" si="3"/>
        <v>4800000000</v>
      </c>
    </row>
    <row r="19" spans="1:25" s="1" customFormat="1" x14ac:dyDescent="0.25">
      <c r="A19" t="s">
        <v>22</v>
      </c>
      <c r="B19" s="1">
        <v>2500</v>
      </c>
      <c r="C19" s="1">
        <f>B19+C10</f>
        <v>5625</v>
      </c>
      <c r="D19" s="1">
        <f t="shared" si="3"/>
        <v>8750</v>
      </c>
      <c r="E19" s="1">
        <f t="shared" si="3"/>
        <v>11875</v>
      </c>
      <c r="F19" s="1">
        <f t="shared" si="3"/>
        <v>15000</v>
      </c>
      <c r="G19" s="1">
        <f t="shared" si="3"/>
        <v>18750</v>
      </c>
      <c r="H19" s="1">
        <f t="shared" si="3"/>
        <v>22500</v>
      </c>
      <c r="I19" s="1">
        <f t="shared" si="3"/>
        <v>26250</v>
      </c>
      <c r="J19" s="1">
        <f t="shared" si="3"/>
        <v>30000</v>
      </c>
      <c r="K19" s="1">
        <f t="shared" si="3"/>
        <v>33750</v>
      </c>
      <c r="L19" s="1">
        <f t="shared" si="3"/>
        <v>37500</v>
      </c>
      <c r="M19" s="1">
        <f t="shared" si="3"/>
        <v>39875</v>
      </c>
      <c r="N19" s="1">
        <f t="shared" si="3"/>
        <v>42250</v>
      </c>
      <c r="O19" s="1">
        <f t="shared" si="3"/>
        <v>44625</v>
      </c>
      <c r="P19" s="1">
        <f t="shared" si="3"/>
        <v>47000</v>
      </c>
      <c r="Q19" s="1">
        <f t="shared" si="3"/>
        <v>49375</v>
      </c>
      <c r="U19"/>
      <c r="V19"/>
      <c r="W19"/>
      <c r="X19"/>
      <c r="Y19"/>
    </row>
    <row r="20" spans="1:25" s="116" customFormat="1" x14ac:dyDescent="0.25">
      <c r="A20" t="s">
        <v>23</v>
      </c>
      <c r="B20" s="116">
        <f>B19*100000</f>
        <v>250000000</v>
      </c>
      <c r="C20" s="116">
        <f>B20+C11</f>
        <v>562500000</v>
      </c>
      <c r="D20" s="116">
        <f t="shared" si="3"/>
        <v>875000000</v>
      </c>
      <c r="E20" s="116">
        <f t="shared" si="3"/>
        <v>1187500000</v>
      </c>
      <c r="F20" s="116">
        <f t="shared" si="3"/>
        <v>1500000000</v>
      </c>
      <c r="G20" s="116">
        <f t="shared" si="3"/>
        <v>1875000000</v>
      </c>
      <c r="H20" s="116">
        <f t="shared" si="3"/>
        <v>2250000000</v>
      </c>
      <c r="I20" s="116">
        <f t="shared" si="3"/>
        <v>2625000000</v>
      </c>
      <c r="J20" s="116">
        <f t="shared" si="3"/>
        <v>3000000000</v>
      </c>
      <c r="K20" s="116">
        <f t="shared" si="3"/>
        <v>3375000000</v>
      </c>
      <c r="L20" s="116">
        <f t="shared" si="3"/>
        <v>3750000000</v>
      </c>
      <c r="M20" s="116">
        <f t="shared" si="3"/>
        <v>3987500000</v>
      </c>
      <c r="N20" s="116">
        <f t="shared" si="3"/>
        <v>4225000000</v>
      </c>
      <c r="O20" s="116">
        <f t="shared" si="3"/>
        <v>4462500000</v>
      </c>
      <c r="P20" s="116">
        <f t="shared" si="3"/>
        <v>4700000000</v>
      </c>
      <c r="Q20" s="116">
        <f t="shared" si="3"/>
        <v>4937500000</v>
      </c>
    </row>
    <row r="26" spans="1:25" s="1" customFormat="1" x14ac:dyDescent="0.25"/>
    <row r="27" spans="1:25" s="1" customFormat="1" ht="30" x14ac:dyDescent="0.25">
      <c r="A27" s="33" t="s">
        <v>120</v>
      </c>
      <c r="B27" s="5">
        <v>2019</v>
      </c>
      <c r="C27" s="5">
        <v>2020</v>
      </c>
      <c r="D27" s="5">
        <v>2021</v>
      </c>
      <c r="E27" s="5">
        <v>2022</v>
      </c>
      <c r="F27" s="5">
        <v>2023</v>
      </c>
      <c r="G27" s="5">
        <v>2024</v>
      </c>
      <c r="H27" s="5">
        <v>2025</v>
      </c>
      <c r="I27" s="5">
        <v>2026</v>
      </c>
      <c r="J27" s="5">
        <v>2027</v>
      </c>
      <c r="K27" s="5">
        <v>2028</v>
      </c>
      <c r="L27" s="5">
        <v>2029</v>
      </c>
      <c r="M27" s="5">
        <v>2030</v>
      </c>
      <c r="N27" s="5">
        <v>2031</v>
      </c>
      <c r="O27" s="5">
        <v>2032</v>
      </c>
      <c r="P27" s="5" t="s">
        <v>125</v>
      </c>
      <c r="Q27" s="5"/>
    </row>
    <row r="28" spans="1:25" s="116" customFormat="1" x14ac:dyDescent="0.25">
      <c r="A28" t="s">
        <v>116</v>
      </c>
      <c r="B28" s="116">
        <v>0</v>
      </c>
      <c r="C28" s="116">
        <v>0</v>
      </c>
      <c r="D28" s="116">
        <v>0</v>
      </c>
      <c r="E28" s="116">
        <v>0</v>
      </c>
      <c r="F28" s="116">
        <v>10392000</v>
      </c>
      <c r="G28" s="116">
        <v>9352800</v>
      </c>
      <c r="H28" s="116">
        <v>8313600.0000000009</v>
      </c>
      <c r="I28" s="116">
        <v>7274400.0000000009</v>
      </c>
      <c r="J28" s="116">
        <v>6235200</v>
      </c>
      <c r="K28" s="116">
        <v>5196000</v>
      </c>
      <c r="L28" s="116">
        <v>4156800.0000000005</v>
      </c>
      <c r="M28" s="116">
        <v>3117600</v>
      </c>
      <c r="N28" s="116">
        <v>2078400.0000000002</v>
      </c>
      <c r="O28" s="116">
        <v>1039200.0000000001</v>
      </c>
      <c r="P28" s="116">
        <f>SUM(B28:O28)</f>
        <v>57156000</v>
      </c>
    </row>
    <row r="29" spans="1:25" s="50" customFormat="1" x14ac:dyDescent="0.25">
      <c r="A29" s="50" t="s">
        <v>121</v>
      </c>
    </row>
    <row r="30" spans="1:25" s="1" customFormat="1" x14ac:dyDescent="0.25"/>
    <row r="31" spans="1:25" s="1" customFormat="1" ht="15.75" x14ac:dyDescent="0.25">
      <c r="A31" s="42"/>
      <c r="B31" s="133" t="s">
        <v>55</v>
      </c>
      <c r="C31" s="133" t="s">
        <v>45</v>
      </c>
      <c r="D31" s="133" t="s">
        <v>44</v>
      </c>
    </row>
    <row r="32" spans="1:25" s="1" customFormat="1" ht="15.75" x14ac:dyDescent="0.25">
      <c r="A32" s="42" t="s">
        <v>56</v>
      </c>
      <c r="B32" s="131">
        <v>57156000</v>
      </c>
      <c r="C32" s="131">
        <f>NPV(D32,B28:O28)</f>
        <v>36217130.069048882</v>
      </c>
      <c r="D32" s="117">
        <v>0.06</v>
      </c>
    </row>
    <row r="33" s="1" customFormat="1" x14ac:dyDescent="0.25"/>
  </sheetData>
  <pageMargins left="0.7" right="0.7" top="0.75" bottom="0.75" header="0.3" footer="0.3"/>
  <pageSetup paperSize="119" scale="2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P20"/>
  <sheetViews>
    <sheetView topLeftCell="B2" zoomScaleNormal="100" workbookViewId="0">
      <selection activeCell="K15" sqref="K15"/>
    </sheetView>
  </sheetViews>
  <sheetFormatPr defaultColWidth="9.28515625" defaultRowHeight="15" x14ac:dyDescent="0.25"/>
  <cols>
    <col min="2" max="2" width="18.28515625" bestFit="1" customWidth="1"/>
    <col min="3" max="3" width="16.28515625" bestFit="1" customWidth="1"/>
    <col min="4" max="4" width="18" bestFit="1" customWidth="1"/>
    <col min="5" max="6" width="16.28515625" bestFit="1" customWidth="1"/>
    <col min="7" max="7" width="12.5703125" bestFit="1" customWidth="1"/>
    <col min="8" max="8" width="14.28515625" bestFit="1" customWidth="1"/>
    <col min="9" max="9" width="12.5703125" bestFit="1" customWidth="1"/>
    <col min="10" max="10" width="10.5703125" bestFit="1" customWidth="1"/>
    <col min="11" max="11" width="14.28515625" bestFit="1" customWidth="1"/>
    <col min="12" max="13" width="11.7109375" bestFit="1" customWidth="1"/>
    <col min="14" max="14" width="11.5703125" bestFit="1" customWidth="1"/>
    <col min="15" max="15" width="14.28515625" bestFit="1" customWidth="1"/>
    <col min="16" max="16" width="15.28515625" bestFit="1" customWidth="1"/>
  </cols>
  <sheetData>
    <row r="6" spans="1:16" x14ac:dyDescent="0.25">
      <c r="F6" s="154" t="s">
        <v>102</v>
      </c>
      <c r="G6" s="155">
        <v>50000</v>
      </c>
    </row>
    <row r="7" spans="1:16" x14ac:dyDescent="0.25">
      <c r="F7" s="151" t="s">
        <v>172</v>
      </c>
      <c r="G7" s="136">
        <v>1.48E-3</v>
      </c>
      <c r="H7" s="136">
        <v>8.8800000000000007E-3</v>
      </c>
      <c r="I7" s="136">
        <v>5.0000000000000001E-4</v>
      </c>
      <c r="J7" s="136">
        <v>2.5000000000000001E-5</v>
      </c>
      <c r="K7" s="136">
        <v>2.1715000000000002E-2</v>
      </c>
      <c r="L7" s="136">
        <v>5.0000000000000001E-3</v>
      </c>
      <c r="M7" s="136">
        <v>5.0000000000000001E-3</v>
      </c>
      <c r="N7" s="136">
        <v>2.5000000000000001E-4</v>
      </c>
      <c r="O7" s="136">
        <v>1.0449999999999999E-2</v>
      </c>
    </row>
    <row r="8" spans="1:16" ht="45" x14ac:dyDescent="0.25">
      <c r="B8" s="134" t="s">
        <v>104</v>
      </c>
      <c r="C8" s="135" t="s">
        <v>103</v>
      </c>
      <c r="D8" s="135" t="s">
        <v>101</v>
      </c>
      <c r="E8" s="135" t="s">
        <v>100</v>
      </c>
      <c r="F8" s="135" t="s">
        <v>99</v>
      </c>
      <c r="G8" s="135" t="s">
        <v>98</v>
      </c>
      <c r="H8" s="135" t="s">
        <v>97</v>
      </c>
      <c r="I8" s="135" t="s">
        <v>96</v>
      </c>
      <c r="J8" s="135" t="s">
        <v>95</v>
      </c>
      <c r="K8" s="135" t="s">
        <v>94</v>
      </c>
      <c r="L8" s="135" t="s">
        <v>93</v>
      </c>
      <c r="M8" s="135" t="s">
        <v>92</v>
      </c>
      <c r="N8" s="135" t="s">
        <v>91</v>
      </c>
      <c r="O8" s="135" t="s">
        <v>90</v>
      </c>
      <c r="P8" s="135" t="s">
        <v>89</v>
      </c>
    </row>
    <row r="9" spans="1:16" x14ac:dyDescent="0.25">
      <c r="A9" t="s">
        <v>88</v>
      </c>
      <c r="B9" s="152">
        <v>1200000000</v>
      </c>
      <c r="C9" s="152">
        <f>B9*0.5*0.4</f>
        <v>240000000</v>
      </c>
      <c r="D9" s="152">
        <f t="shared" ref="D9:D19" si="0">C9/0.4</f>
        <v>600000000</v>
      </c>
      <c r="E9" s="152">
        <f t="shared" ref="E9:E19" si="1">B9-D9</f>
        <v>600000000</v>
      </c>
      <c r="F9" s="152">
        <f t="shared" ref="F9:F19" si="2">E9*0.4</f>
        <v>240000000</v>
      </c>
      <c r="G9" s="152">
        <f t="shared" ref="G9:K19" si="3">$F9*G$7</f>
        <v>355200</v>
      </c>
      <c r="H9" s="152">
        <f t="shared" si="3"/>
        <v>2131200</v>
      </c>
      <c r="I9" s="152">
        <f t="shared" si="3"/>
        <v>120000</v>
      </c>
      <c r="J9" s="152">
        <f t="shared" si="3"/>
        <v>6000</v>
      </c>
      <c r="K9" s="152">
        <f t="shared" si="3"/>
        <v>5211600</v>
      </c>
      <c r="L9" s="152">
        <v>0</v>
      </c>
      <c r="M9" s="152">
        <v>0</v>
      </c>
      <c r="N9" s="152">
        <f t="shared" ref="N9:O19" si="4">$F9*N$7</f>
        <v>60000</v>
      </c>
      <c r="O9" s="152">
        <f t="shared" si="4"/>
        <v>2508000</v>
      </c>
      <c r="P9" s="152">
        <f t="shared" ref="P9:P19" si="5">SUM(G9:O9)</f>
        <v>10392000</v>
      </c>
    </row>
    <row r="10" spans="1:16" x14ac:dyDescent="0.25">
      <c r="A10" t="s">
        <v>87</v>
      </c>
      <c r="B10" s="152">
        <v>1200000000</v>
      </c>
      <c r="C10" s="152">
        <f>B10*0.55*0.4</f>
        <v>264000000</v>
      </c>
      <c r="D10" s="152">
        <f t="shared" si="0"/>
        <v>660000000</v>
      </c>
      <c r="E10" s="152">
        <f t="shared" si="1"/>
        <v>540000000</v>
      </c>
      <c r="F10" s="152">
        <f t="shared" si="2"/>
        <v>216000000</v>
      </c>
      <c r="G10" s="152">
        <f t="shared" si="3"/>
        <v>319680</v>
      </c>
      <c r="H10" s="152">
        <f t="shared" si="3"/>
        <v>1918080.0000000002</v>
      </c>
      <c r="I10" s="152">
        <f t="shared" si="3"/>
        <v>108000</v>
      </c>
      <c r="J10" s="152">
        <f t="shared" si="3"/>
        <v>5400</v>
      </c>
      <c r="K10" s="152">
        <f t="shared" si="3"/>
        <v>4690440</v>
      </c>
      <c r="L10" s="152">
        <v>0</v>
      </c>
      <c r="M10" s="152">
        <v>0</v>
      </c>
      <c r="N10" s="152">
        <f t="shared" si="4"/>
        <v>54000</v>
      </c>
      <c r="O10" s="152">
        <f t="shared" si="4"/>
        <v>2257200</v>
      </c>
      <c r="P10" s="152">
        <f t="shared" si="5"/>
        <v>9352800</v>
      </c>
    </row>
    <row r="11" spans="1:16" x14ac:dyDescent="0.25">
      <c r="A11" t="s">
        <v>86</v>
      </c>
      <c r="B11" s="152">
        <v>1200000000</v>
      </c>
      <c r="C11" s="152">
        <f>B11*0.6*0.4</f>
        <v>288000000</v>
      </c>
      <c r="D11" s="152">
        <f t="shared" si="0"/>
        <v>720000000</v>
      </c>
      <c r="E11" s="152">
        <f t="shared" si="1"/>
        <v>480000000</v>
      </c>
      <c r="F11" s="152">
        <f t="shared" si="2"/>
        <v>192000000</v>
      </c>
      <c r="G11" s="152">
        <f t="shared" si="3"/>
        <v>284160</v>
      </c>
      <c r="H11" s="152">
        <f t="shared" si="3"/>
        <v>1704960.0000000002</v>
      </c>
      <c r="I11" s="152">
        <f t="shared" si="3"/>
        <v>96000</v>
      </c>
      <c r="J11" s="152">
        <f t="shared" si="3"/>
        <v>4800</v>
      </c>
      <c r="K11" s="152">
        <f t="shared" si="3"/>
        <v>4169280.0000000005</v>
      </c>
      <c r="L11" s="152">
        <v>0</v>
      </c>
      <c r="M11" s="152">
        <v>0</v>
      </c>
      <c r="N11" s="152">
        <f t="shared" si="4"/>
        <v>48000</v>
      </c>
      <c r="O11" s="152">
        <f t="shared" si="4"/>
        <v>2006399.9999999998</v>
      </c>
      <c r="P11" s="152">
        <f t="shared" si="5"/>
        <v>8313600.0000000009</v>
      </c>
    </row>
    <row r="12" spans="1:16" x14ac:dyDescent="0.25">
      <c r="A12" t="s">
        <v>85</v>
      </c>
      <c r="B12" s="152">
        <v>1200000000</v>
      </c>
      <c r="C12" s="152">
        <f>B12*0.65*0.4</f>
        <v>312000000</v>
      </c>
      <c r="D12" s="152">
        <f t="shared" si="0"/>
        <v>780000000</v>
      </c>
      <c r="E12" s="152">
        <f t="shared" si="1"/>
        <v>420000000</v>
      </c>
      <c r="F12" s="152">
        <f t="shared" si="2"/>
        <v>168000000</v>
      </c>
      <c r="G12" s="152">
        <f t="shared" si="3"/>
        <v>248640</v>
      </c>
      <c r="H12" s="152">
        <f t="shared" si="3"/>
        <v>1491840.0000000002</v>
      </c>
      <c r="I12" s="152">
        <f t="shared" si="3"/>
        <v>84000</v>
      </c>
      <c r="J12" s="152">
        <f t="shared" si="3"/>
        <v>4200</v>
      </c>
      <c r="K12" s="152">
        <f t="shared" si="3"/>
        <v>3648120.0000000005</v>
      </c>
      <c r="L12" s="152">
        <v>0</v>
      </c>
      <c r="M12" s="152">
        <v>0</v>
      </c>
      <c r="N12" s="152">
        <f t="shared" si="4"/>
        <v>42000</v>
      </c>
      <c r="O12" s="152">
        <f t="shared" si="4"/>
        <v>1755599.9999999998</v>
      </c>
      <c r="P12" s="152">
        <f t="shared" si="5"/>
        <v>7274400.0000000009</v>
      </c>
    </row>
    <row r="13" spans="1:16" x14ac:dyDescent="0.25">
      <c r="A13" t="s">
        <v>84</v>
      </c>
      <c r="B13" s="152">
        <v>1200000000</v>
      </c>
      <c r="C13" s="152">
        <f>B13*0.7*0.4</f>
        <v>336000000</v>
      </c>
      <c r="D13" s="152">
        <f t="shared" si="0"/>
        <v>840000000</v>
      </c>
      <c r="E13" s="152">
        <f t="shared" si="1"/>
        <v>360000000</v>
      </c>
      <c r="F13" s="152">
        <f t="shared" si="2"/>
        <v>144000000</v>
      </c>
      <c r="G13" s="152">
        <f t="shared" si="3"/>
        <v>213120</v>
      </c>
      <c r="H13" s="152">
        <f t="shared" si="3"/>
        <v>1278720</v>
      </c>
      <c r="I13" s="152">
        <f t="shared" si="3"/>
        <v>72000</v>
      </c>
      <c r="J13" s="152">
        <f t="shared" si="3"/>
        <v>3600</v>
      </c>
      <c r="K13" s="152">
        <f t="shared" si="3"/>
        <v>3126960.0000000005</v>
      </c>
      <c r="L13" s="152">
        <v>0</v>
      </c>
      <c r="M13" s="152">
        <v>0</v>
      </c>
      <c r="N13" s="152">
        <f t="shared" si="4"/>
        <v>36000</v>
      </c>
      <c r="O13" s="152">
        <f t="shared" si="4"/>
        <v>1504800</v>
      </c>
      <c r="P13" s="152">
        <f t="shared" si="5"/>
        <v>6235200</v>
      </c>
    </row>
    <row r="14" spans="1:16" x14ac:dyDescent="0.25">
      <c r="A14" t="s">
        <v>83</v>
      </c>
      <c r="B14" s="152">
        <v>1200000000</v>
      </c>
      <c r="C14" s="152">
        <f>B14*0.75*0.4</f>
        <v>360000000</v>
      </c>
      <c r="D14" s="152">
        <f t="shared" si="0"/>
        <v>900000000</v>
      </c>
      <c r="E14" s="152">
        <f t="shared" si="1"/>
        <v>300000000</v>
      </c>
      <c r="F14" s="152">
        <f t="shared" si="2"/>
        <v>120000000</v>
      </c>
      <c r="G14" s="152">
        <f t="shared" si="3"/>
        <v>177600</v>
      </c>
      <c r="H14" s="152">
        <f t="shared" si="3"/>
        <v>1065600</v>
      </c>
      <c r="I14" s="152">
        <f t="shared" si="3"/>
        <v>60000</v>
      </c>
      <c r="J14" s="152">
        <f t="shared" si="3"/>
        <v>3000</v>
      </c>
      <c r="K14" s="152">
        <f t="shared" si="3"/>
        <v>2605800</v>
      </c>
      <c r="L14" s="152">
        <v>0</v>
      </c>
      <c r="M14" s="152">
        <v>0</v>
      </c>
      <c r="N14" s="152">
        <f t="shared" si="4"/>
        <v>30000</v>
      </c>
      <c r="O14" s="152">
        <f t="shared" si="4"/>
        <v>1254000</v>
      </c>
      <c r="P14" s="152">
        <f t="shared" si="5"/>
        <v>5196000</v>
      </c>
    </row>
    <row r="15" spans="1:16" x14ac:dyDescent="0.25">
      <c r="A15" t="s">
        <v>82</v>
      </c>
      <c r="B15" s="152">
        <v>1200000000</v>
      </c>
      <c r="C15" s="152">
        <f>B15*0.8*0.4</f>
        <v>384000000</v>
      </c>
      <c r="D15" s="152">
        <f t="shared" si="0"/>
        <v>960000000</v>
      </c>
      <c r="E15" s="152">
        <f t="shared" si="1"/>
        <v>240000000</v>
      </c>
      <c r="F15" s="152">
        <f t="shared" si="2"/>
        <v>96000000</v>
      </c>
      <c r="G15" s="152">
        <f t="shared" si="3"/>
        <v>142080</v>
      </c>
      <c r="H15" s="152">
        <f t="shared" si="3"/>
        <v>852480.00000000012</v>
      </c>
      <c r="I15" s="152">
        <f t="shared" si="3"/>
        <v>48000</v>
      </c>
      <c r="J15" s="152">
        <f t="shared" si="3"/>
        <v>2400</v>
      </c>
      <c r="K15" s="152">
        <f t="shared" si="3"/>
        <v>2084640.0000000002</v>
      </c>
      <c r="L15" s="152">
        <v>0</v>
      </c>
      <c r="M15" s="152">
        <v>0</v>
      </c>
      <c r="N15" s="152">
        <f t="shared" si="4"/>
        <v>24000</v>
      </c>
      <c r="O15" s="152">
        <f t="shared" si="4"/>
        <v>1003199.9999999999</v>
      </c>
      <c r="P15" s="152">
        <f t="shared" si="5"/>
        <v>4156800.0000000005</v>
      </c>
    </row>
    <row r="16" spans="1:16" x14ac:dyDescent="0.25">
      <c r="A16" t="s">
        <v>81</v>
      </c>
      <c r="B16" s="152">
        <v>1200000000</v>
      </c>
      <c r="C16" s="152">
        <f>B16*0.85*0.4</f>
        <v>408000000</v>
      </c>
      <c r="D16" s="152">
        <f t="shared" si="0"/>
        <v>1020000000</v>
      </c>
      <c r="E16" s="152">
        <f t="shared" si="1"/>
        <v>180000000</v>
      </c>
      <c r="F16" s="152">
        <f t="shared" si="2"/>
        <v>72000000</v>
      </c>
      <c r="G16" s="152">
        <f t="shared" si="3"/>
        <v>106560</v>
      </c>
      <c r="H16" s="152">
        <f t="shared" si="3"/>
        <v>639360</v>
      </c>
      <c r="I16" s="152">
        <f t="shared" si="3"/>
        <v>36000</v>
      </c>
      <c r="J16" s="152">
        <f t="shared" si="3"/>
        <v>1800</v>
      </c>
      <c r="K16" s="152">
        <f t="shared" si="3"/>
        <v>1563480.0000000002</v>
      </c>
      <c r="L16" s="152">
        <v>0</v>
      </c>
      <c r="M16" s="152">
        <v>0</v>
      </c>
      <c r="N16" s="152">
        <f t="shared" si="4"/>
        <v>18000</v>
      </c>
      <c r="O16" s="152">
        <f t="shared" si="4"/>
        <v>752400</v>
      </c>
      <c r="P16" s="152">
        <f t="shared" si="5"/>
        <v>3117600</v>
      </c>
    </row>
    <row r="17" spans="1:16" x14ac:dyDescent="0.25">
      <c r="A17" t="s">
        <v>80</v>
      </c>
      <c r="B17" s="152">
        <v>1200000000</v>
      </c>
      <c r="C17" s="152">
        <f>B17*0.9*0.4</f>
        <v>432000000</v>
      </c>
      <c r="D17" s="152">
        <f t="shared" si="0"/>
        <v>1080000000</v>
      </c>
      <c r="E17" s="152">
        <f t="shared" si="1"/>
        <v>120000000</v>
      </c>
      <c r="F17" s="152">
        <f t="shared" si="2"/>
        <v>48000000</v>
      </c>
      <c r="G17" s="152">
        <f t="shared" si="3"/>
        <v>71040</v>
      </c>
      <c r="H17" s="152">
        <f t="shared" si="3"/>
        <v>426240.00000000006</v>
      </c>
      <c r="I17" s="152">
        <f t="shared" si="3"/>
        <v>24000</v>
      </c>
      <c r="J17" s="152">
        <f t="shared" si="3"/>
        <v>1200</v>
      </c>
      <c r="K17" s="152">
        <f t="shared" si="3"/>
        <v>1042320.0000000001</v>
      </c>
      <c r="L17" s="152">
        <v>0</v>
      </c>
      <c r="M17" s="152">
        <v>0</v>
      </c>
      <c r="N17" s="152">
        <f t="shared" si="4"/>
        <v>12000</v>
      </c>
      <c r="O17" s="152">
        <f t="shared" si="4"/>
        <v>501599.99999999994</v>
      </c>
      <c r="P17" s="152">
        <f t="shared" si="5"/>
        <v>2078400.0000000002</v>
      </c>
    </row>
    <row r="18" spans="1:16" x14ac:dyDescent="0.25">
      <c r="A18" t="s">
        <v>79</v>
      </c>
      <c r="B18" s="152">
        <v>1200000000</v>
      </c>
      <c r="C18" s="152">
        <f>B18*0.95*0.4</f>
        <v>456000000</v>
      </c>
      <c r="D18" s="152">
        <f t="shared" si="0"/>
        <v>1140000000</v>
      </c>
      <c r="E18" s="152">
        <f t="shared" si="1"/>
        <v>60000000</v>
      </c>
      <c r="F18" s="152">
        <f t="shared" si="2"/>
        <v>24000000</v>
      </c>
      <c r="G18" s="152">
        <f t="shared" si="3"/>
        <v>35520</v>
      </c>
      <c r="H18" s="152">
        <f t="shared" si="3"/>
        <v>213120.00000000003</v>
      </c>
      <c r="I18" s="152">
        <f t="shared" si="3"/>
        <v>12000</v>
      </c>
      <c r="J18" s="152">
        <f t="shared" si="3"/>
        <v>600</v>
      </c>
      <c r="K18" s="152">
        <f t="shared" si="3"/>
        <v>521160.00000000006</v>
      </c>
      <c r="L18" s="152">
        <v>0</v>
      </c>
      <c r="M18" s="152">
        <v>0</v>
      </c>
      <c r="N18" s="152">
        <f t="shared" si="4"/>
        <v>6000</v>
      </c>
      <c r="O18" s="152">
        <f t="shared" si="4"/>
        <v>250799.99999999997</v>
      </c>
      <c r="P18" s="152">
        <f t="shared" si="5"/>
        <v>1039200.0000000001</v>
      </c>
    </row>
    <row r="19" spans="1:16" x14ac:dyDescent="0.25">
      <c r="A19" t="s">
        <v>78</v>
      </c>
      <c r="B19" s="152">
        <v>1200000000</v>
      </c>
      <c r="C19" s="152">
        <f>B19*1*0.4</f>
        <v>480000000</v>
      </c>
      <c r="D19" s="152">
        <f t="shared" si="0"/>
        <v>1200000000</v>
      </c>
      <c r="E19" s="152">
        <f t="shared" si="1"/>
        <v>0</v>
      </c>
      <c r="F19" s="152">
        <f t="shared" si="2"/>
        <v>0</v>
      </c>
      <c r="G19" s="152">
        <f t="shared" si="3"/>
        <v>0</v>
      </c>
      <c r="H19" s="152">
        <f t="shared" si="3"/>
        <v>0</v>
      </c>
      <c r="I19" s="152">
        <f t="shared" si="3"/>
        <v>0</v>
      </c>
      <c r="J19" s="152">
        <f t="shared" si="3"/>
        <v>0</v>
      </c>
      <c r="K19" s="152">
        <f t="shared" si="3"/>
        <v>0</v>
      </c>
      <c r="L19" s="152">
        <v>0</v>
      </c>
      <c r="M19" s="152">
        <v>0</v>
      </c>
      <c r="N19" s="152">
        <f t="shared" si="4"/>
        <v>0</v>
      </c>
      <c r="O19" s="152">
        <f t="shared" si="4"/>
        <v>0</v>
      </c>
      <c r="P19" s="152">
        <f t="shared" si="5"/>
        <v>0</v>
      </c>
    </row>
    <row r="20" spans="1:16" x14ac:dyDescent="0.25">
      <c r="C20" s="34"/>
      <c r="D20" s="116"/>
      <c r="E20" s="116"/>
      <c r="F20" s="116"/>
      <c r="G20" s="116"/>
      <c r="H20" s="116"/>
      <c r="I20" s="116"/>
      <c r="J20" s="116"/>
      <c r="K20" s="116"/>
      <c r="L20" s="116"/>
      <c r="M20" s="116"/>
      <c r="N20" s="116"/>
      <c r="O20" s="116"/>
      <c r="P20" s="153">
        <f>SUM(P9:P19)</f>
        <v>57156000</v>
      </c>
    </row>
  </sheetData>
  <pageMargins left="0.7" right="0.7" top="0.75" bottom="0.75" header="0.3" footer="0.3"/>
  <pageSetup paperSize="119" scale="4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38"/>
  <sheetViews>
    <sheetView zoomScaleNormal="100" workbookViewId="0">
      <selection activeCell="E14" sqref="E14"/>
    </sheetView>
  </sheetViews>
  <sheetFormatPr defaultRowHeight="15" x14ac:dyDescent="0.25"/>
  <cols>
    <col min="1" max="1" width="28.85546875" customWidth="1"/>
    <col min="2" max="3" width="21.42578125" style="1" customWidth="1"/>
    <col min="4" max="18" width="18.5703125" style="1" customWidth="1"/>
    <col min="19" max="19" width="19.5703125" style="1" bestFit="1" customWidth="1"/>
    <col min="20" max="20" width="18.140625" style="1" customWidth="1"/>
    <col min="21" max="22" width="18.140625" customWidth="1"/>
    <col min="23" max="23" width="17.28515625" bestFit="1" customWidth="1"/>
  </cols>
  <sheetData>
    <row r="2" spans="1:25" ht="15.75" x14ac:dyDescent="0.25">
      <c r="A2" s="40" t="s">
        <v>112</v>
      </c>
    </row>
    <row r="4" spans="1:25" s="1" customFormat="1" x14ac:dyDescent="0.25">
      <c r="A4" s="8" t="s">
        <v>19</v>
      </c>
      <c r="U4"/>
      <c r="V4"/>
      <c r="W4"/>
      <c r="X4"/>
      <c r="Y4"/>
    </row>
    <row r="5" spans="1:25" s="114" customFormat="1" x14ac:dyDescent="0.25">
      <c r="A5" s="49"/>
      <c r="B5" s="112" t="s">
        <v>20</v>
      </c>
      <c r="C5" s="113">
        <v>2021</v>
      </c>
      <c r="D5" s="113">
        <v>2022</v>
      </c>
      <c r="E5" s="113">
        <v>2023</v>
      </c>
      <c r="F5" s="113">
        <v>2024</v>
      </c>
      <c r="G5" s="113">
        <v>2025</v>
      </c>
      <c r="H5" s="113">
        <v>2026</v>
      </c>
      <c r="I5" s="113">
        <v>2027</v>
      </c>
      <c r="J5" s="113">
        <v>2028</v>
      </c>
      <c r="K5" s="113">
        <v>2029</v>
      </c>
      <c r="L5" s="113">
        <v>2030</v>
      </c>
      <c r="M5" s="113">
        <v>2031</v>
      </c>
      <c r="N5" s="113">
        <v>2032</v>
      </c>
      <c r="O5" s="113">
        <v>2033</v>
      </c>
      <c r="P5" s="113">
        <v>2034</v>
      </c>
      <c r="Q5" s="113">
        <v>2035</v>
      </c>
      <c r="U5" s="49"/>
      <c r="V5" s="49"/>
      <c r="W5" s="49"/>
      <c r="X5" s="49"/>
      <c r="Y5" s="49"/>
    </row>
    <row r="6" spans="1:25" s="2" customFormat="1" x14ac:dyDescent="0.25">
      <c r="B6" s="3" t="s">
        <v>0</v>
      </c>
      <c r="C6" s="3" t="s">
        <v>1</v>
      </c>
      <c r="D6" s="3" t="s">
        <v>2</v>
      </c>
      <c r="E6" s="3" t="s">
        <v>3</v>
      </c>
      <c r="F6" s="3" t="s">
        <v>4</v>
      </c>
      <c r="G6" s="3" t="s">
        <v>5</v>
      </c>
      <c r="H6" s="3" t="s">
        <v>6</v>
      </c>
      <c r="I6" s="3" t="s">
        <v>7</v>
      </c>
      <c r="J6" s="3" t="s">
        <v>8</v>
      </c>
      <c r="K6" s="3" t="s">
        <v>9</v>
      </c>
      <c r="L6" s="3" t="s">
        <v>10</v>
      </c>
      <c r="M6" s="3" t="s">
        <v>11</v>
      </c>
      <c r="N6" s="3" t="s">
        <v>12</v>
      </c>
      <c r="O6" s="3" t="s">
        <v>13</v>
      </c>
      <c r="P6" s="4" t="s">
        <v>14</v>
      </c>
      <c r="Q6" s="4" t="s">
        <v>15</v>
      </c>
      <c r="R6" s="3" t="s">
        <v>17</v>
      </c>
      <c r="S6" s="3" t="s">
        <v>18</v>
      </c>
    </row>
    <row r="7" spans="1:25" s="1" customFormat="1" x14ac:dyDescent="0.25">
      <c r="A7" t="s">
        <v>16</v>
      </c>
      <c r="B7" s="1">
        <v>500000</v>
      </c>
      <c r="C7" s="1">
        <v>500000</v>
      </c>
      <c r="D7" s="1">
        <v>500000</v>
      </c>
      <c r="E7" s="1">
        <v>500000</v>
      </c>
      <c r="F7" s="1">
        <v>500000</v>
      </c>
      <c r="G7" s="1">
        <v>600000</v>
      </c>
      <c r="H7" s="1">
        <v>600000</v>
      </c>
      <c r="I7" s="1">
        <v>600000</v>
      </c>
      <c r="J7" s="1">
        <v>600000</v>
      </c>
      <c r="K7" s="1">
        <v>600000</v>
      </c>
      <c r="L7" s="1">
        <v>600000</v>
      </c>
      <c r="M7" s="1">
        <v>380000</v>
      </c>
      <c r="N7" s="1">
        <v>380000</v>
      </c>
      <c r="O7" s="1">
        <v>380000</v>
      </c>
      <c r="P7" s="1">
        <v>380000</v>
      </c>
      <c r="Q7" s="1">
        <v>380000</v>
      </c>
      <c r="R7" s="1">
        <f>SUM(B7:Q7)</f>
        <v>8000000</v>
      </c>
      <c r="S7" s="1">
        <v>8000000</v>
      </c>
      <c r="U7"/>
      <c r="V7"/>
      <c r="W7"/>
      <c r="X7"/>
      <c r="Y7"/>
    </row>
    <row r="8" spans="1:25" s="116" customFormat="1" x14ac:dyDescent="0.25">
      <c r="A8" t="s">
        <v>21</v>
      </c>
      <c r="B8" s="116">
        <f>600*B7</f>
        <v>300000000</v>
      </c>
      <c r="C8" s="116">
        <f t="shared" ref="C8:Q8" si="0">600*C7</f>
        <v>300000000</v>
      </c>
      <c r="D8" s="116">
        <f t="shared" si="0"/>
        <v>300000000</v>
      </c>
      <c r="E8" s="116">
        <f t="shared" si="0"/>
        <v>300000000</v>
      </c>
      <c r="F8" s="116">
        <f t="shared" si="0"/>
        <v>300000000</v>
      </c>
      <c r="G8" s="116">
        <f t="shared" si="0"/>
        <v>360000000</v>
      </c>
      <c r="H8" s="116">
        <f t="shared" si="0"/>
        <v>360000000</v>
      </c>
      <c r="I8" s="116">
        <f t="shared" si="0"/>
        <v>360000000</v>
      </c>
      <c r="J8" s="116">
        <f t="shared" si="0"/>
        <v>360000000</v>
      </c>
      <c r="K8" s="116">
        <f t="shared" si="0"/>
        <v>360000000</v>
      </c>
      <c r="L8" s="116">
        <f t="shared" si="0"/>
        <v>360000000</v>
      </c>
      <c r="M8" s="116">
        <f t="shared" si="0"/>
        <v>228000000</v>
      </c>
      <c r="N8" s="116">
        <f t="shared" si="0"/>
        <v>228000000</v>
      </c>
      <c r="O8" s="116">
        <f t="shared" si="0"/>
        <v>228000000</v>
      </c>
      <c r="P8" s="116">
        <f t="shared" si="0"/>
        <v>228000000</v>
      </c>
      <c r="Q8" s="116">
        <f t="shared" si="0"/>
        <v>228000000</v>
      </c>
      <c r="R8" s="116">
        <f>SUM(B8:Q8)</f>
        <v>4800000000</v>
      </c>
    </row>
    <row r="9" spans="1:25" s="1" customFormat="1" x14ac:dyDescent="0.25">
      <c r="A9" t="s">
        <v>22</v>
      </c>
      <c r="B9" s="1">
        <v>2500</v>
      </c>
      <c r="C9" s="1">
        <f>ROUND(C7/160,1)</f>
        <v>3125</v>
      </c>
      <c r="D9" s="1">
        <f t="shared" ref="D9:Q9" si="1">ROUND(D7/160,1)</f>
        <v>3125</v>
      </c>
      <c r="E9" s="1">
        <f t="shared" si="1"/>
        <v>3125</v>
      </c>
      <c r="F9" s="1">
        <f t="shared" si="1"/>
        <v>3125</v>
      </c>
      <c r="G9" s="1">
        <f t="shared" si="1"/>
        <v>3750</v>
      </c>
      <c r="H9" s="1">
        <f t="shared" si="1"/>
        <v>3750</v>
      </c>
      <c r="I9" s="1">
        <f t="shared" si="1"/>
        <v>3750</v>
      </c>
      <c r="J9" s="1">
        <f t="shared" si="1"/>
        <v>3750</v>
      </c>
      <c r="K9" s="1">
        <f t="shared" si="1"/>
        <v>3750</v>
      </c>
      <c r="L9" s="1">
        <f t="shared" si="1"/>
        <v>3750</v>
      </c>
      <c r="M9" s="1">
        <f t="shared" si="1"/>
        <v>2375</v>
      </c>
      <c r="N9" s="1">
        <f t="shared" si="1"/>
        <v>2375</v>
      </c>
      <c r="O9" s="1">
        <f t="shared" si="1"/>
        <v>2375</v>
      </c>
      <c r="P9" s="1">
        <f t="shared" si="1"/>
        <v>2375</v>
      </c>
      <c r="Q9" s="1">
        <f t="shared" si="1"/>
        <v>2375</v>
      </c>
      <c r="R9" s="1">
        <f>SUM(B9:Q9)</f>
        <v>49375</v>
      </c>
      <c r="S9" s="1">
        <v>50000</v>
      </c>
      <c r="U9"/>
      <c r="V9"/>
      <c r="W9"/>
      <c r="X9"/>
      <c r="Y9"/>
    </row>
    <row r="10" spans="1:25" s="116" customFormat="1" x14ac:dyDescent="0.25">
      <c r="A10" t="s">
        <v>23</v>
      </c>
      <c r="B10" s="116">
        <f>B9*100000</f>
        <v>250000000</v>
      </c>
      <c r="C10" s="116">
        <f t="shared" ref="C10:Q10" si="2">C9*100000</f>
        <v>312500000</v>
      </c>
      <c r="D10" s="116">
        <f t="shared" si="2"/>
        <v>312500000</v>
      </c>
      <c r="E10" s="116">
        <f t="shared" si="2"/>
        <v>312500000</v>
      </c>
      <c r="F10" s="116">
        <f t="shared" si="2"/>
        <v>312500000</v>
      </c>
      <c r="G10" s="116">
        <f t="shared" si="2"/>
        <v>375000000</v>
      </c>
      <c r="H10" s="116">
        <f t="shared" si="2"/>
        <v>375000000</v>
      </c>
      <c r="I10" s="116">
        <f t="shared" si="2"/>
        <v>375000000</v>
      </c>
      <c r="J10" s="116">
        <f t="shared" si="2"/>
        <v>375000000</v>
      </c>
      <c r="K10" s="116">
        <f t="shared" si="2"/>
        <v>375000000</v>
      </c>
      <c r="L10" s="116">
        <f t="shared" si="2"/>
        <v>375000000</v>
      </c>
      <c r="M10" s="116">
        <f t="shared" si="2"/>
        <v>237500000</v>
      </c>
      <c r="N10" s="116">
        <f t="shared" si="2"/>
        <v>237500000</v>
      </c>
      <c r="O10" s="116">
        <f t="shared" si="2"/>
        <v>237500000</v>
      </c>
      <c r="P10" s="116">
        <f t="shared" si="2"/>
        <v>237500000</v>
      </c>
      <c r="Q10" s="116">
        <f t="shared" si="2"/>
        <v>237500000</v>
      </c>
      <c r="R10" s="116">
        <f>R9*100000</f>
        <v>4937500000</v>
      </c>
    </row>
    <row r="13" spans="1:25" s="1" customFormat="1" x14ac:dyDescent="0.25">
      <c r="A13" s="8" t="s">
        <v>24</v>
      </c>
      <c r="U13"/>
      <c r="V13"/>
      <c r="W13"/>
      <c r="X13"/>
      <c r="Y13"/>
    </row>
    <row r="14" spans="1:25" s="114" customFormat="1" x14ac:dyDescent="0.25">
      <c r="A14" s="49"/>
      <c r="B14" s="112" t="s">
        <v>20</v>
      </c>
      <c r="C14" s="113">
        <v>2021</v>
      </c>
      <c r="D14" s="113">
        <v>2022</v>
      </c>
      <c r="E14" s="113">
        <v>2023</v>
      </c>
      <c r="F14" s="113">
        <v>2024</v>
      </c>
      <c r="G14" s="113">
        <v>2025</v>
      </c>
      <c r="H14" s="113">
        <v>2026</v>
      </c>
      <c r="I14" s="113">
        <v>2027</v>
      </c>
      <c r="J14" s="113">
        <v>2028</v>
      </c>
      <c r="K14" s="113">
        <v>2029</v>
      </c>
      <c r="L14" s="113">
        <v>2030</v>
      </c>
      <c r="M14" s="113">
        <v>2031</v>
      </c>
      <c r="N14" s="113">
        <v>2032</v>
      </c>
      <c r="O14" s="113">
        <v>2033</v>
      </c>
      <c r="P14" s="113">
        <v>2034</v>
      </c>
      <c r="Q14" s="113">
        <v>2035</v>
      </c>
      <c r="U14" s="49"/>
      <c r="V14" s="49"/>
      <c r="W14" s="49"/>
      <c r="X14" s="49"/>
      <c r="Y14" s="49"/>
    </row>
    <row r="15" spans="1:25" s="1" customFormat="1" x14ac:dyDescent="0.25">
      <c r="A15" s="2"/>
      <c r="B15" s="3" t="s">
        <v>0</v>
      </c>
      <c r="C15" s="3" t="s">
        <v>1</v>
      </c>
      <c r="D15" s="3" t="s">
        <v>2</v>
      </c>
      <c r="E15" s="3" t="s">
        <v>3</v>
      </c>
      <c r="F15" s="3" t="s">
        <v>4</v>
      </c>
      <c r="G15" s="3" t="s">
        <v>5</v>
      </c>
      <c r="H15" s="3" t="s">
        <v>6</v>
      </c>
      <c r="I15" s="3" t="s">
        <v>7</v>
      </c>
      <c r="J15" s="3" t="s">
        <v>8</v>
      </c>
      <c r="K15" s="3" t="s">
        <v>9</v>
      </c>
      <c r="L15" s="3" t="s">
        <v>10</v>
      </c>
      <c r="M15" s="3" t="s">
        <v>11</v>
      </c>
      <c r="N15" s="3" t="s">
        <v>12</v>
      </c>
      <c r="O15" s="3" t="s">
        <v>13</v>
      </c>
      <c r="P15" s="4" t="s">
        <v>14</v>
      </c>
      <c r="Q15" s="4" t="s">
        <v>15</v>
      </c>
      <c r="R15" s="3"/>
      <c r="S15" s="3"/>
      <c r="U15"/>
      <c r="V15"/>
      <c r="W15"/>
      <c r="X15"/>
      <c r="Y15"/>
    </row>
    <row r="16" spans="1:25" s="1" customFormat="1" x14ac:dyDescent="0.25">
      <c r="A16" t="s">
        <v>16</v>
      </c>
      <c r="B16" s="1">
        <v>500000</v>
      </c>
      <c r="C16" s="1">
        <f>B16+C7</f>
        <v>1000000</v>
      </c>
      <c r="D16" s="1">
        <f t="shared" ref="D16:Q19" si="3">C16+D7</f>
        <v>1500000</v>
      </c>
      <c r="E16" s="1">
        <f t="shared" si="3"/>
        <v>2000000</v>
      </c>
      <c r="F16" s="1">
        <f t="shared" si="3"/>
        <v>2500000</v>
      </c>
      <c r="G16" s="1">
        <f t="shared" si="3"/>
        <v>3100000</v>
      </c>
      <c r="H16" s="1">
        <f t="shared" si="3"/>
        <v>3700000</v>
      </c>
      <c r="I16" s="1">
        <f t="shared" si="3"/>
        <v>4300000</v>
      </c>
      <c r="J16" s="1">
        <f t="shared" si="3"/>
        <v>4900000</v>
      </c>
      <c r="K16" s="1">
        <f t="shared" si="3"/>
        <v>5500000</v>
      </c>
      <c r="L16" s="1">
        <f t="shared" si="3"/>
        <v>6100000</v>
      </c>
      <c r="M16" s="1">
        <f t="shared" si="3"/>
        <v>6480000</v>
      </c>
      <c r="N16" s="1">
        <f t="shared" si="3"/>
        <v>6860000</v>
      </c>
      <c r="O16" s="1">
        <f t="shared" si="3"/>
        <v>7240000</v>
      </c>
      <c r="P16" s="1">
        <f t="shared" si="3"/>
        <v>7620000</v>
      </c>
      <c r="Q16" s="1">
        <f t="shared" si="3"/>
        <v>8000000</v>
      </c>
      <c r="U16"/>
      <c r="V16"/>
      <c r="W16"/>
      <c r="X16"/>
      <c r="Y16"/>
    </row>
    <row r="17" spans="1:25" s="116" customFormat="1" x14ac:dyDescent="0.25">
      <c r="A17" t="s">
        <v>21</v>
      </c>
      <c r="B17" s="116">
        <f>600*B16</f>
        <v>300000000</v>
      </c>
      <c r="C17" s="116">
        <f>B17+C8</f>
        <v>600000000</v>
      </c>
      <c r="D17" s="116">
        <f t="shared" si="3"/>
        <v>900000000</v>
      </c>
      <c r="E17" s="116">
        <f t="shared" si="3"/>
        <v>1200000000</v>
      </c>
      <c r="F17" s="116">
        <f t="shared" si="3"/>
        <v>1500000000</v>
      </c>
      <c r="G17" s="116">
        <f t="shared" si="3"/>
        <v>1860000000</v>
      </c>
      <c r="H17" s="116">
        <f t="shared" si="3"/>
        <v>2220000000</v>
      </c>
      <c r="I17" s="116">
        <f t="shared" si="3"/>
        <v>2580000000</v>
      </c>
      <c r="J17" s="116">
        <f t="shared" si="3"/>
        <v>2940000000</v>
      </c>
      <c r="K17" s="116">
        <f t="shared" si="3"/>
        <v>3300000000</v>
      </c>
      <c r="L17" s="116">
        <f t="shared" si="3"/>
        <v>3660000000</v>
      </c>
      <c r="M17" s="116">
        <f t="shared" si="3"/>
        <v>3888000000</v>
      </c>
      <c r="N17" s="116">
        <f t="shared" si="3"/>
        <v>4116000000</v>
      </c>
      <c r="O17" s="116">
        <f t="shared" si="3"/>
        <v>4344000000</v>
      </c>
      <c r="P17" s="116">
        <f t="shared" si="3"/>
        <v>4572000000</v>
      </c>
      <c r="Q17" s="116">
        <f t="shared" si="3"/>
        <v>4800000000</v>
      </c>
    </row>
    <row r="18" spans="1:25" s="1" customFormat="1" x14ac:dyDescent="0.25">
      <c r="A18" t="s">
        <v>22</v>
      </c>
      <c r="B18" s="1">
        <v>2500</v>
      </c>
      <c r="C18" s="1">
        <f>B18+C9</f>
        <v>5625</v>
      </c>
      <c r="D18" s="1">
        <f t="shared" si="3"/>
        <v>8750</v>
      </c>
      <c r="E18" s="1">
        <f t="shared" si="3"/>
        <v>11875</v>
      </c>
      <c r="F18" s="1">
        <f t="shared" si="3"/>
        <v>15000</v>
      </c>
      <c r="G18" s="1">
        <f t="shared" si="3"/>
        <v>18750</v>
      </c>
      <c r="H18" s="1">
        <f t="shared" si="3"/>
        <v>22500</v>
      </c>
      <c r="I18" s="1">
        <f t="shared" si="3"/>
        <v>26250</v>
      </c>
      <c r="J18" s="1">
        <f t="shared" si="3"/>
        <v>30000</v>
      </c>
      <c r="K18" s="1">
        <f t="shared" si="3"/>
        <v>33750</v>
      </c>
      <c r="L18" s="1">
        <f t="shared" si="3"/>
        <v>37500</v>
      </c>
      <c r="M18" s="1">
        <f t="shared" si="3"/>
        <v>39875</v>
      </c>
      <c r="N18" s="1">
        <f t="shared" si="3"/>
        <v>42250</v>
      </c>
      <c r="O18" s="1">
        <f t="shared" si="3"/>
        <v>44625</v>
      </c>
      <c r="P18" s="1">
        <f t="shared" si="3"/>
        <v>47000</v>
      </c>
      <c r="Q18" s="1">
        <f t="shared" si="3"/>
        <v>49375</v>
      </c>
      <c r="U18"/>
      <c r="V18"/>
      <c r="W18"/>
      <c r="X18"/>
      <c r="Y18"/>
    </row>
    <row r="19" spans="1:25" s="116" customFormat="1" x14ac:dyDescent="0.25">
      <c r="A19" t="s">
        <v>23</v>
      </c>
      <c r="B19" s="116">
        <f>B18*100000</f>
        <v>250000000</v>
      </c>
      <c r="C19" s="116">
        <f>B19+C10</f>
        <v>562500000</v>
      </c>
      <c r="D19" s="116">
        <f t="shared" si="3"/>
        <v>875000000</v>
      </c>
      <c r="E19" s="116">
        <f t="shared" si="3"/>
        <v>1187500000</v>
      </c>
      <c r="F19" s="116">
        <f t="shared" si="3"/>
        <v>1500000000</v>
      </c>
      <c r="G19" s="116">
        <f t="shared" si="3"/>
        <v>1875000000</v>
      </c>
      <c r="H19" s="116">
        <f t="shared" si="3"/>
        <v>2250000000</v>
      </c>
      <c r="I19" s="116">
        <f t="shared" si="3"/>
        <v>2625000000</v>
      </c>
      <c r="J19" s="116">
        <f t="shared" si="3"/>
        <v>3000000000</v>
      </c>
      <c r="K19" s="116">
        <f t="shared" si="3"/>
        <v>3375000000</v>
      </c>
      <c r="L19" s="116">
        <f t="shared" si="3"/>
        <v>3750000000</v>
      </c>
      <c r="M19" s="116">
        <f t="shared" si="3"/>
        <v>3987500000</v>
      </c>
      <c r="N19" s="116">
        <f t="shared" si="3"/>
        <v>4225000000</v>
      </c>
      <c r="O19" s="116">
        <f t="shared" si="3"/>
        <v>4462500000</v>
      </c>
      <c r="P19" s="116">
        <f t="shared" si="3"/>
        <v>4700000000</v>
      </c>
      <c r="Q19" s="116">
        <f t="shared" si="3"/>
        <v>4937500000</v>
      </c>
    </row>
    <row r="26" spans="1:25" x14ac:dyDescent="0.25">
      <c r="A26" s="8" t="s">
        <v>115</v>
      </c>
    </row>
    <row r="27" spans="1:25" s="49" customFormat="1" x14ac:dyDescent="0.25">
      <c r="B27" s="113">
        <v>2019</v>
      </c>
      <c r="C27" s="113">
        <v>2020</v>
      </c>
      <c r="D27" s="113">
        <v>2021</v>
      </c>
      <c r="E27" s="113">
        <v>2022</v>
      </c>
      <c r="F27" s="113">
        <v>2023</v>
      </c>
      <c r="G27" s="113">
        <v>2024</v>
      </c>
      <c r="H27" s="113">
        <v>2025</v>
      </c>
      <c r="I27" s="113">
        <v>2026</v>
      </c>
      <c r="J27" s="113">
        <v>2027</v>
      </c>
      <c r="K27" s="113">
        <v>2028</v>
      </c>
      <c r="L27" s="113">
        <v>2029</v>
      </c>
      <c r="M27" s="113">
        <v>2030</v>
      </c>
      <c r="N27" s="113">
        <v>2031</v>
      </c>
      <c r="O27" s="113">
        <v>2032</v>
      </c>
      <c r="P27" s="113">
        <v>2033</v>
      </c>
      <c r="Q27" s="113">
        <v>2034</v>
      </c>
      <c r="R27" s="113"/>
      <c r="S27" s="113"/>
      <c r="T27" s="113"/>
      <c r="U27" s="113"/>
      <c r="V27" s="113"/>
      <c r="W27" s="113"/>
      <c r="X27" s="113"/>
      <c r="Y27" s="113"/>
    </row>
    <row r="28" spans="1:25" s="116" customFormat="1" x14ac:dyDescent="0.25">
      <c r="A28" s="116" t="s">
        <v>116</v>
      </c>
      <c r="B28" s="116">
        <f>25000000/10</f>
        <v>2500000</v>
      </c>
      <c r="C28" s="116">
        <f t="shared" ref="C28:K28" si="4">25000000/10</f>
        <v>2500000</v>
      </c>
      <c r="D28" s="116">
        <f t="shared" si="4"/>
        <v>2500000</v>
      </c>
      <c r="E28" s="116">
        <f t="shared" si="4"/>
        <v>2500000</v>
      </c>
      <c r="F28" s="116">
        <f t="shared" si="4"/>
        <v>2500000</v>
      </c>
      <c r="G28" s="116">
        <f t="shared" si="4"/>
        <v>2500000</v>
      </c>
      <c r="H28" s="116">
        <f t="shared" si="4"/>
        <v>2500000</v>
      </c>
      <c r="I28" s="116">
        <f t="shared" si="4"/>
        <v>2500000</v>
      </c>
      <c r="J28" s="116">
        <f t="shared" si="4"/>
        <v>2500000</v>
      </c>
      <c r="K28" s="116">
        <f t="shared" si="4"/>
        <v>2500000</v>
      </c>
      <c r="R28" s="116">
        <f t="shared" ref="R28" si="5">SUM(B28:Q28)</f>
        <v>25000000</v>
      </c>
    </row>
    <row r="29" spans="1:25" s="1" customFormat="1" x14ac:dyDescent="0.25">
      <c r="A29" s="13" t="s">
        <v>117</v>
      </c>
      <c r="B29" s="13"/>
      <c r="C29" s="13"/>
      <c r="D29" s="13"/>
      <c r="E29" s="13"/>
      <c r="F29" s="13"/>
      <c r="G29" s="13"/>
      <c r="H29" s="13"/>
      <c r="I29" s="13"/>
      <c r="J29" s="13"/>
      <c r="K29" s="13"/>
    </row>
    <row r="30" spans="1:25" s="1" customFormat="1" x14ac:dyDescent="0.25"/>
    <row r="31" spans="1:25" ht="31.5" x14ac:dyDescent="0.25">
      <c r="A31" s="40"/>
      <c r="B31" s="41" t="s">
        <v>55</v>
      </c>
      <c r="C31" s="41" t="s">
        <v>45</v>
      </c>
      <c r="D31" s="41" t="s">
        <v>44</v>
      </c>
    </row>
    <row r="32" spans="1:25" ht="15.75" x14ac:dyDescent="0.25">
      <c r="A32" s="40" t="s">
        <v>77</v>
      </c>
      <c r="B32" s="131">
        <v>25000000</v>
      </c>
      <c r="C32" s="131">
        <f>NPV(D32,B28:K28)</f>
        <v>18400217.628536738</v>
      </c>
      <c r="D32" s="115">
        <v>0.06</v>
      </c>
    </row>
    <row r="36" spans="2:2" x14ac:dyDescent="0.25">
      <c r="B36" s="11"/>
    </row>
    <row r="37" spans="2:2" x14ac:dyDescent="0.25">
      <c r="B37" s="11"/>
    </row>
    <row r="38" spans="2:2" x14ac:dyDescent="0.25">
      <c r="B38" s="11"/>
    </row>
  </sheetData>
  <pageMargins left="0.7" right="0.7" top="0.75" bottom="0.75" header="0.3" footer="0.3"/>
  <pageSetup paperSize="11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32"/>
  <sheetViews>
    <sheetView zoomScale="90" zoomScaleNormal="90" workbookViewId="0">
      <selection activeCell="E29" sqref="E29"/>
    </sheetView>
  </sheetViews>
  <sheetFormatPr defaultRowHeight="15" x14ac:dyDescent="0.25"/>
  <cols>
    <col min="1" max="1" width="28.85546875" customWidth="1"/>
    <col min="2" max="17" width="19.140625" style="1" customWidth="1"/>
    <col min="18" max="18" width="16.5703125" style="1" bestFit="1" customWidth="1"/>
    <col min="19" max="20" width="18.140625" style="1" customWidth="1"/>
    <col min="21" max="22" width="18.140625" customWidth="1"/>
    <col min="23" max="23" width="17.28515625" bestFit="1" customWidth="1"/>
  </cols>
  <sheetData>
    <row r="2" spans="1:25" ht="15.75" x14ac:dyDescent="0.25">
      <c r="A2" s="40" t="s">
        <v>112</v>
      </c>
    </row>
    <row r="4" spans="1:25" s="1" customFormat="1" x14ac:dyDescent="0.25">
      <c r="A4" s="8" t="s">
        <v>19</v>
      </c>
      <c r="U4"/>
      <c r="V4"/>
      <c r="W4"/>
      <c r="X4"/>
      <c r="Y4"/>
    </row>
    <row r="5" spans="1:25" s="1" customFormat="1" x14ac:dyDescent="0.25">
      <c r="A5"/>
      <c r="B5" s="6" t="s">
        <v>20</v>
      </c>
      <c r="C5" s="5">
        <v>2021</v>
      </c>
      <c r="D5" s="5">
        <v>2022</v>
      </c>
      <c r="E5" s="5">
        <v>2023</v>
      </c>
      <c r="F5" s="5">
        <v>2024</v>
      </c>
      <c r="G5" s="5">
        <v>2025</v>
      </c>
      <c r="H5" s="5">
        <v>2026</v>
      </c>
      <c r="I5" s="5">
        <v>2027</v>
      </c>
      <c r="J5" s="5">
        <v>2028</v>
      </c>
      <c r="K5" s="5">
        <v>2029</v>
      </c>
      <c r="L5" s="5">
        <v>2030</v>
      </c>
      <c r="M5" s="5">
        <v>2031</v>
      </c>
      <c r="N5" s="5">
        <v>2032</v>
      </c>
      <c r="O5" s="5">
        <v>2033</v>
      </c>
      <c r="P5" s="5">
        <v>2034</v>
      </c>
      <c r="Q5" s="5">
        <v>2035</v>
      </c>
      <c r="U5"/>
      <c r="V5"/>
      <c r="W5"/>
      <c r="X5"/>
      <c r="Y5"/>
    </row>
    <row r="6" spans="1:25" s="2" customFormat="1" x14ac:dyDescent="0.25">
      <c r="B6" s="3" t="s">
        <v>0</v>
      </c>
      <c r="C6" s="3" t="s">
        <v>1</v>
      </c>
      <c r="D6" s="3" t="s">
        <v>2</v>
      </c>
      <c r="E6" s="3" t="s">
        <v>3</v>
      </c>
      <c r="F6" s="3" t="s">
        <v>4</v>
      </c>
      <c r="G6" s="3" t="s">
        <v>5</v>
      </c>
      <c r="H6" s="3" t="s">
        <v>6</v>
      </c>
      <c r="I6" s="3" t="s">
        <v>7</v>
      </c>
      <c r="J6" s="3" t="s">
        <v>8</v>
      </c>
      <c r="K6" s="3" t="s">
        <v>9</v>
      </c>
      <c r="L6" s="3" t="s">
        <v>10</v>
      </c>
      <c r="M6" s="3" t="s">
        <v>11</v>
      </c>
      <c r="N6" s="3" t="s">
        <v>12</v>
      </c>
      <c r="O6" s="3" t="s">
        <v>13</v>
      </c>
      <c r="P6" s="4" t="s">
        <v>14</v>
      </c>
      <c r="Q6" s="4" t="s">
        <v>15</v>
      </c>
      <c r="R6" s="3" t="s">
        <v>17</v>
      </c>
      <c r="S6" s="3" t="s">
        <v>18</v>
      </c>
    </row>
    <row r="7" spans="1:25" s="1" customFormat="1" x14ac:dyDescent="0.25">
      <c r="A7" t="s">
        <v>16</v>
      </c>
      <c r="B7" s="1">
        <v>500000</v>
      </c>
      <c r="C7" s="1">
        <v>500000</v>
      </c>
      <c r="D7" s="1">
        <v>500000</v>
      </c>
      <c r="E7" s="1">
        <v>500000</v>
      </c>
      <c r="F7" s="1">
        <v>500000</v>
      </c>
      <c r="G7" s="1">
        <v>600000</v>
      </c>
      <c r="H7" s="1">
        <v>600000</v>
      </c>
      <c r="I7" s="1">
        <v>600000</v>
      </c>
      <c r="J7" s="1">
        <v>600000</v>
      </c>
      <c r="K7" s="1">
        <v>600000</v>
      </c>
      <c r="L7" s="1">
        <v>600000</v>
      </c>
      <c r="M7" s="1">
        <v>380000</v>
      </c>
      <c r="N7" s="1">
        <v>380000</v>
      </c>
      <c r="O7" s="1">
        <v>380000</v>
      </c>
      <c r="P7" s="1">
        <v>380000</v>
      </c>
      <c r="Q7" s="1">
        <v>380000</v>
      </c>
      <c r="R7" s="1">
        <f>SUM(B7:Q7)</f>
        <v>8000000</v>
      </c>
      <c r="S7" s="1">
        <v>8000000</v>
      </c>
      <c r="U7"/>
      <c r="V7"/>
      <c r="W7"/>
      <c r="X7"/>
      <c r="Y7"/>
    </row>
    <row r="8" spans="1:25" s="1" customFormat="1" x14ac:dyDescent="0.25">
      <c r="A8" t="s">
        <v>21</v>
      </c>
      <c r="B8" s="7">
        <f>600*B7</f>
        <v>300000000</v>
      </c>
      <c r="C8" s="7">
        <f t="shared" ref="C8:Q8" si="0">600*C7</f>
        <v>300000000</v>
      </c>
      <c r="D8" s="7">
        <f t="shared" si="0"/>
        <v>300000000</v>
      </c>
      <c r="E8" s="7">
        <f t="shared" si="0"/>
        <v>300000000</v>
      </c>
      <c r="F8" s="7">
        <f t="shared" si="0"/>
        <v>300000000</v>
      </c>
      <c r="G8" s="7">
        <f t="shared" si="0"/>
        <v>360000000</v>
      </c>
      <c r="H8" s="7">
        <f t="shared" si="0"/>
        <v>360000000</v>
      </c>
      <c r="I8" s="7">
        <f t="shared" si="0"/>
        <v>360000000</v>
      </c>
      <c r="J8" s="7">
        <f t="shared" si="0"/>
        <v>360000000</v>
      </c>
      <c r="K8" s="7">
        <f t="shared" si="0"/>
        <v>360000000</v>
      </c>
      <c r="L8" s="7">
        <f t="shared" si="0"/>
        <v>360000000</v>
      </c>
      <c r="M8" s="7">
        <f t="shared" si="0"/>
        <v>228000000</v>
      </c>
      <c r="N8" s="7">
        <f t="shared" si="0"/>
        <v>228000000</v>
      </c>
      <c r="O8" s="7">
        <f t="shared" si="0"/>
        <v>228000000</v>
      </c>
      <c r="P8" s="7">
        <f t="shared" si="0"/>
        <v>228000000</v>
      </c>
      <c r="Q8" s="7">
        <f t="shared" si="0"/>
        <v>228000000</v>
      </c>
      <c r="R8" s="7">
        <f>SUM(B8:Q8)</f>
        <v>4800000000</v>
      </c>
      <c r="U8"/>
      <c r="V8"/>
      <c r="W8"/>
      <c r="X8"/>
      <c r="Y8"/>
    </row>
    <row r="9" spans="1:25" s="1" customFormat="1" x14ac:dyDescent="0.25">
      <c r="A9" t="s">
        <v>22</v>
      </c>
      <c r="B9" s="1">
        <v>2500</v>
      </c>
      <c r="C9" s="1">
        <f>ROUND(C7/160,1)</f>
        <v>3125</v>
      </c>
      <c r="D9" s="1">
        <f t="shared" ref="D9:Q9" si="1">ROUND(D7/160,1)</f>
        <v>3125</v>
      </c>
      <c r="E9" s="1">
        <f t="shared" si="1"/>
        <v>3125</v>
      </c>
      <c r="F9" s="1">
        <f t="shared" si="1"/>
        <v>3125</v>
      </c>
      <c r="G9" s="1">
        <f t="shared" si="1"/>
        <v>3750</v>
      </c>
      <c r="H9" s="1">
        <f t="shared" si="1"/>
        <v>3750</v>
      </c>
      <c r="I9" s="1">
        <f t="shared" si="1"/>
        <v>3750</v>
      </c>
      <c r="J9" s="1">
        <f t="shared" si="1"/>
        <v>3750</v>
      </c>
      <c r="K9" s="1">
        <f t="shared" si="1"/>
        <v>3750</v>
      </c>
      <c r="L9" s="1">
        <f t="shared" si="1"/>
        <v>3750</v>
      </c>
      <c r="M9" s="1">
        <f t="shared" si="1"/>
        <v>2375</v>
      </c>
      <c r="N9" s="1">
        <f t="shared" si="1"/>
        <v>2375</v>
      </c>
      <c r="O9" s="1">
        <f t="shared" si="1"/>
        <v>2375</v>
      </c>
      <c r="P9" s="1">
        <f t="shared" si="1"/>
        <v>2375</v>
      </c>
      <c r="Q9" s="1">
        <f t="shared" si="1"/>
        <v>2375</v>
      </c>
      <c r="R9" s="1">
        <f>SUM(B9:Q9)</f>
        <v>49375</v>
      </c>
      <c r="S9" s="1">
        <v>50000</v>
      </c>
      <c r="U9"/>
      <c r="V9"/>
      <c r="W9"/>
      <c r="X9"/>
      <c r="Y9"/>
    </row>
    <row r="10" spans="1:25" s="1" customFormat="1" x14ac:dyDescent="0.25">
      <c r="A10" t="s">
        <v>23</v>
      </c>
      <c r="B10" s="7">
        <f>B9*100000</f>
        <v>250000000</v>
      </c>
      <c r="C10" s="7">
        <f t="shared" ref="C10:Q10" si="2">C9*100000</f>
        <v>312500000</v>
      </c>
      <c r="D10" s="7">
        <f t="shared" si="2"/>
        <v>312500000</v>
      </c>
      <c r="E10" s="7">
        <f t="shared" si="2"/>
        <v>312500000</v>
      </c>
      <c r="F10" s="7">
        <f t="shared" si="2"/>
        <v>312500000</v>
      </c>
      <c r="G10" s="7">
        <f t="shared" si="2"/>
        <v>375000000</v>
      </c>
      <c r="H10" s="7">
        <f t="shared" si="2"/>
        <v>375000000</v>
      </c>
      <c r="I10" s="7">
        <f t="shared" si="2"/>
        <v>375000000</v>
      </c>
      <c r="J10" s="7">
        <f t="shared" si="2"/>
        <v>375000000</v>
      </c>
      <c r="K10" s="7">
        <f t="shared" si="2"/>
        <v>375000000</v>
      </c>
      <c r="L10" s="7">
        <f t="shared" si="2"/>
        <v>375000000</v>
      </c>
      <c r="M10" s="7">
        <f t="shared" si="2"/>
        <v>237500000</v>
      </c>
      <c r="N10" s="7">
        <f t="shared" si="2"/>
        <v>237500000</v>
      </c>
      <c r="O10" s="7">
        <f t="shared" si="2"/>
        <v>237500000</v>
      </c>
      <c r="P10" s="7">
        <f t="shared" si="2"/>
        <v>237500000</v>
      </c>
      <c r="Q10" s="7">
        <f t="shared" si="2"/>
        <v>237500000</v>
      </c>
      <c r="R10" s="7">
        <f>R9*100000</f>
        <v>4937500000</v>
      </c>
      <c r="U10"/>
      <c r="V10"/>
      <c r="W10"/>
      <c r="X10"/>
      <c r="Y10"/>
    </row>
    <row r="13" spans="1:25" s="1" customFormat="1" x14ac:dyDescent="0.25">
      <c r="A13" s="8" t="s">
        <v>24</v>
      </c>
      <c r="U13"/>
      <c r="V13"/>
      <c r="W13"/>
      <c r="X13"/>
      <c r="Y13"/>
    </row>
    <row r="14" spans="1:25" s="114" customFormat="1" x14ac:dyDescent="0.25">
      <c r="A14" s="49"/>
      <c r="B14" s="112" t="s">
        <v>20</v>
      </c>
      <c r="C14" s="113">
        <v>2021</v>
      </c>
      <c r="D14" s="113">
        <v>2022</v>
      </c>
      <c r="E14" s="113">
        <v>2023</v>
      </c>
      <c r="F14" s="113">
        <v>2024</v>
      </c>
      <c r="G14" s="113">
        <v>2025</v>
      </c>
      <c r="H14" s="113">
        <v>2026</v>
      </c>
      <c r="I14" s="113">
        <v>2027</v>
      </c>
      <c r="J14" s="113">
        <v>2028</v>
      </c>
      <c r="K14" s="113">
        <v>2029</v>
      </c>
      <c r="L14" s="113">
        <v>2030</v>
      </c>
      <c r="M14" s="113">
        <v>2031</v>
      </c>
      <c r="N14" s="113">
        <v>2032</v>
      </c>
      <c r="O14" s="113">
        <v>2033</v>
      </c>
      <c r="P14" s="113">
        <v>2034</v>
      </c>
      <c r="Q14" s="113">
        <v>2035</v>
      </c>
      <c r="U14" s="49"/>
      <c r="V14" s="49"/>
      <c r="W14" s="49"/>
      <c r="X14" s="49"/>
      <c r="Y14" s="49"/>
    </row>
    <row r="15" spans="1:25" s="1" customFormat="1" x14ac:dyDescent="0.25">
      <c r="A15" s="2"/>
      <c r="B15" s="3" t="s">
        <v>0</v>
      </c>
      <c r="C15" s="3" t="s">
        <v>1</v>
      </c>
      <c r="D15" s="3" t="s">
        <v>2</v>
      </c>
      <c r="E15" s="3" t="s">
        <v>3</v>
      </c>
      <c r="F15" s="3" t="s">
        <v>4</v>
      </c>
      <c r="G15" s="3" t="s">
        <v>5</v>
      </c>
      <c r="H15" s="3" t="s">
        <v>6</v>
      </c>
      <c r="I15" s="3" t="s">
        <v>7</v>
      </c>
      <c r="J15" s="3" t="s">
        <v>8</v>
      </c>
      <c r="K15" s="3" t="s">
        <v>9</v>
      </c>
      <c r="L15" s="3" t="s">
        <v>10</v>
      </c>
      <c r="M15" s="3" t="s">
        <v>11</v>
      </c>
      <c r="N15" s="3" t="s">
        <v>12</v>
      </c>
      <c r="O15" s="3" t="s">
        <v>13</v>
      </c>
      <c r="P15" s="4" t="s">
        <v>14</v>
      </c>
      <c r="Q15" s="4" t="s">
        <v>15</v>
      </c>
      <c r="R15" s="3"/>
      <c r="S15" s="3"/>
      <c r="U15"/>
      <c r="V15"/>
      <c r="W15"/>
      <c r="X15"/>
      <c r="Y15"/>
    </row>
    <row r="16" spans="1:25" s="1" customFormat="1" x14ac:dyDescent="0.25">
      <c r="A16" t="s">
        <v>16</v>
      </c>
      <c r="B16" s="1">
        <v>500000</v>
      </c>
      <c r="C16" s="1">
        <f>B16+C7</f>
        <v>1000000</v>
      </c>
      <c r="D16" s="1">
        <f t="shared" ref="D16:Q19" si="3">C16+D7</f>
        <v>1500000</v>
      </c>
      <c r="E16" s="1">
        <f t="shared" si="3"/>
        <v>2000000</v>
      </c>
      <c r="F16" s="1">
        <f t="shared" si="3"/>
        <v>2500000</v>
      </c>
      <c r="G16" s="1">
        <f t="shared" si="3"/>
        <v>3100000</v>
      </c>
      <c r="H16" s="1">
        <f t="shared" si="3"/>
        <v>3700000</v>
      </c>
      <c r="I16" s="1">
        <f t="shared" si="3"/>
        <v>4300000</v>
      </c>
      <c r="J16" s="1">
        <f t="shared" si="3"/>
        <v>4900000</v>
      </c>
      <c r="K16" s="1">
        <f t="shared" si="3"/>
        <v>5500000</v>
      </c>
      <c r="L16" s="1">
        <f t="shared" si="3"/>
        <v>6100000</v>
      </c>
      <c r="M16" s="1">
        <f t="shared" si="3"/>
        <v>6480000</v>
      </c>
      <c r="N16" s="1">
        <f t="shared" si="3"/>
        <v>6860000</v>
      </c>
      <c r="O16" s="1">
        <f t="shared" si="3"/>
        <v>7240000</v>
      </c>
      <c r="P16" s="1">
        <f t="shared" si="3"/>
        <v>7620000</v>
      </c>
      <c r="Q16" s="1">
        <f t="shared" si="3"/>
        <v>8000000</v>
      </c>
      <c r="U16"/>
      <c r="V16"/>
      <c r="W16"/>
      <c r="X16"/>
      <c r="Y16"/>
    </row>
    <row r="17" spans="1:25" s="116" customFormat="1" x14ac:dyDescent="0.25">
      <c r="A17" s="116" t="s">
        <v>21</v>
      </c>
      <c r="B17" s="116">
        <f>600*B16</f>
        <v>300000000</v>
      </c>
      <c r="C17" s="116">
        <f>B17+C8</f>
        <v>600000000</v>
      </c>
      <c r="D17" s="116">
        <f t="shared" si="3"/>
        <v>900000000</v>
      </c>
      <c r="E17" s="116">
        <f t="shared" si="3"/>
        <v>1200000000</v>
      </c>
      <c r="F17" s="116">
        <f t="shared" si="3"/>
        <v>1500000000</v>
      </c>
      <c r="G17" s="116">
        <f t="shared" si="3"/>
        <v>1860000000</v>
      </c>
      <c r="H17" s="116">
        <f t="shared" si="3"/>
        <v>2220000000</v>
      </c>
      <c r="I17" s="116">
        <f t="shared" si="3"/>
        <v>2580000000</v>
      </c>
      <c r="J17" s="116">
        <f t="shared" si="3"/>
        <v>2940000000</v>
      </c>
      <c r="K17" s="116">
        <f t="shared" si="3"/>
        <v>3300000000</v>
      </c>
      <c r="L17" s="116">
        <f t="shared" si="3"/>
        <v>3660000000</v>
      </c>
      <c r="M17" s="116">
        <f t="shared" si="3"/>
        <v>3888000000</v>
      </c>
      <c r="N17" s="116">
        <f t="shared" si="3"/>
        <v>4116000000</v>
      </c>
      <c r="O17" s="116">
        <f t="shared" si="3"/>
        <v>4344000000</v>
      </c>
      <c r="P17" s="116">
        <f t="shared" si="3"/>
        <v>4572000000</v>
      </c>
      <c r="Q17" s="116">
        <f t="shared" si="3"/>
        <v>4800000000</v>
      </c>
    </row>
    <row r="18" spans="1:25" s="1" customFormat="1" x14ac:dyDescent="0.25">
      <c r="A18" t="s">
        <v>22</v>
      </c>
      <c r="B18" s="1">
        <v>2500</v>
      </c>
      <c r="C18" s="1">
        <f>B18+C9</f>
        <v>5625</v>
      </c>
      <c r="D18" s="1">
        <f t="shared" si="3"/>
        <v>8750</v>
      </c>
      <c r="E18" s="1">
        <f t="shared" si="3"/>
        <v>11875</v>
      </c>
      <c r="F18" s="1">
        <f t="shared" si="3"/>
        <v>15000</v>
      </c>
      <c r="G18" s="1">
        <f t="shared" si="3"/>
        <v>18750</v>
      </c>
      <c r="H18" s="1">
        <f t="shared" si="3"/>
        <v>22500</v>
      </c>
      <c r="I18" s="1">
        <f t="shared" si="3"/>
        <v>26250</v>
      </c>
      <c r="J18" s="1">
        <f t="shared" si="3"/>
        <v>30000</v>
      </c>
      <c r="K18" s="1">
        <f t="shared" si="3"/>
        <v>33750</v>
      </c>
      <c r="L18" s="1">
        <f t="shared" si="3"/>
        <v>37500</v>
      </c>
      <c r="M18" s="1">
        <f t="shared" si="3"/>
        <v>39875</v>
      </c>
      <c r="N18" s="1">
        <f t="shared" si="3"/>
        <v>42250</v>
      </c>
      <c r="O18" s="1">
        <f t="shared" si="3"/>
        <v>44625</v>
      </c>
      <c r="P18" s="1">
        <f t="shared" si="3"/>
        <v>47000</v>
      </c>
      <c r="Q18" s="1">
        <f t="shared" si="3"/>
        <v>49375</v>
      </c>
      <c r="U18"/>
      <c r="V18"/>
      <c r="W18"/>
      <c r="X18"/>
      <c r="Y18"/>
    </row>
    <row r="19" spans="1:25" s="116" customFormat="1" x14ac:dyDescent="0.25">
      <c r="A19" s="116" t="s">
        <v>23</v>
      </c>
      <c r="B19" s="116">
        <f>B18*100000</f>
        <v>250000000</v>
      </c>
      <c r="C19" s="116">
        <f>B19+C10</f>
        <v>562500000</v>
      </c>
      <c r="D19" s="116">
        <f t="shared" si="3"/>
        <v>875000000</v>
      </c>
      <c r="E19" s="116">
        <f t="shared" si="3"/>
        <v>1187500000</v>
      </c>
      <c r="F19" s="116">
        <f t="shared" si="3"/>
        <v>1500000000</v>
      </c>
      <c r="G19" s="116">
        <f t="shared" si="3"/>
        <v>1875000000</v>
      </c>
      <c r="H19" s="116">
        <f t="shared" si="3"/>
        <v>2250000000</v>
      </c>
      <c r="I19" s="116">
        <f t="shared" si="3"/>
        <v>2625000000</v>
      </c>
      <c r="J19" s="116">
        <f t="shared" si="3"/>
        <v>3000000000</v>
      </c>
      <c r="K19" s="116">
        <f t="shared" si="3"/>
        <v>3375000000</v>
      </c>
      <c r="L19" s="116">
        <f t="shared" si="3"/>
        <v>3750000000</v>
      </c>
      <c r="M19" s="116">
        <f t="shared" si="3"/>
        <v>3987500000</v>
      </c>
      <c r="N19" s="116">
        <f t="shared" si="3"/>
        <v>4225000000</v>
      </c>
      <c r="O19" s="116">
        <f t="shared" si="3"/>
        <v>4462500000</v>
      </c>
      <c r="P19" s="116">
        <f t="shared" si="3"/>
        <v>4700000000</v>
      </c>
      <c r="Q19" s="116">
        <f t="shared" si="3"/>
        <v>4937500000</v>
      </c>
    </row>
    <row r="26" spans="1:25" x14ac:dyDescent="0.25">
      <c r="A26" s="46" t="s">
        <v>105</v>
      </c>
    </row>
    <row r="27" spans="1:25" s="49" customFormat="1" x14ac:dyDescent="0.25">
      <c r="A27" s="114"/>
      <c r="B27" s="113">
        <v>2019</v>
      </c>
      <c r="C27" s="113">
        <v>2020</v>
      </c>
      <c r="D27" s="113">
        <v>2021</v>
      </c>
      <c r="E27" s="113">
        <v>2022</v>
      </c>
      <c r="F27" s="113">
        <v>2023</v>
      </c>
      <c r="G27" s="113">
        <v>2024</v>
      </c>
      <c r="H27" s="113">
        <v>2025</v>
      </c>
      <c r="I27" s="113">
        <v>2026</v>
      </c>
      <c r="J27" s="113">
        <v>2027</v>
      </c>
      <c r="K27" s="113">
        <v>2028</v>
      </c>
      <c r="L27" s="113">
        <v>2029</v>
      </c>
      <c r="M27" s="113">
        <v>2030</v>
      </c>
      <c r="N27" s="113">
        <v>2031</v>
      </c>
      <c r="O27" s="113">
        <v>2032</v>
      </c>
      <c r="P27" s="113">
        <v>2033</v>
      </c>
      <c r="Q27" s="113">
        <v>2034</v>
      </c>
      <c r="R27" s="113"/>
      <c r="S27" s="113"/>
      <c r="T27" s="113"/>
      <c r="U27" s="113"/>
      <c r="V27" s="113"/>
      <c r="W27" s="113"/>
      <c r="X27" s="113"/>
      <c r="Y27" s="113"/>
    </row>
    <row r="28" spans="1:25" x14ac:dyDescent="0.25">
      <c r="A28" s="21" t="s">
        <v>118</v>
      </c>
      <c r="B28" s="116">
        <v>5250000</v>
      </c>
      <c r="R28" s="1">
        <f t="shared" ref="R28" si="4">SUM(B28:Q28)</f>
        <v>5250000</v>
      </c>
    </row>
    <row r="29" spans="1:25" x14ac:dyDescent="0.25">
      <c r="A29" s="21"/>
      <c r="B29" s="7"/>
    </row>
    <row r="30" spans="1:25" ht="30" x14ac:dyDescent="0.25">
      <c r="A30" s="31"/>
      <c r="B30" s="47" t="s">
        <v>55</v>
      </c>
      <c r="C30" s="22" t="s">
        <v>45</v>
      </c>
      <c r="D30" s="22" t="s">
        <v>44</v>
      </c>
    </row>
    <row r="31" spans="1:25" x14ac:dyDescent="0.25">
      <c r="A31" s="46" t="s">
        <v>105</v>
      </c>
      <c r="B31" s="122">
        <v>5250000</v>
      </c>
      <c r="C31" s="122">
        <f>NPV(D31,B28)</f>
        <v>4952830.1886792453</v>
      </c>
      <c r="D31" s="137">
        <v>0.06</v>
      </c>
    </row>
    <row r="32" spans="1:25" x14ac:dyDescent="0.25">
      <c r="B32" s="7"/>
    </row>
  </sheetData>
  <pageMargins left="0.7" right="0.7" top="0.75" bottom="0.75" header="0.3" footer="0.3"/>
  <pageSetup paperSize="11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Incentive Summary</vt:lpstr>
      <vt:lpstr>Mega Project Tax Credit</vt:lpstr>
      <vt:lpstr>Materials Exemption</vt:lpstr>
      <vt:lpstr>Amazon Academy of GA</vt:lpstr>
      <vt:lpstr>State Grant</vt:lpstr>
      <vt:lpstr>Lease Purchase for Abatement</vt:lpstr>
      <vt:lpstr>Lease Purchase Schedule</vt:lpstr>
      <vt:lpstr>Local Grant</vt:lpstr>
      <vt:lpstr>Impact Fees</vt:lpstr>
      <vt:lpstr>Local Summary</vt:lpstr>
      <vt:lpstr>Local District Specific</vt:lpstr>
      <vt:lpstr>Local Infrastructure Investment</vt:lpstr>
      <vt:lpstr>Big Ideas</vt:lpstr>
      <vt:lpstr>'Amazon Academy of GA'!Print_Area</vt:lpstr>
      <vt:lpstr>'Impact Fees'!Print_Area</vt:lpstr>
      <vt:lpstr>'Incentive Summary'!Print_Area</vt:lpstr>
      <vt:lpstr>'Local District Specific'!Print_Area</vt:lpstr>
      <vt:lpstr>'Local Grant'!Print_Area</vt:lpstr>
      <vt:lpstr>'Materials Exemption'!Print_Area</vt:lpstr>
      <vt:lpstr>'State Grant'!Print_Area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Brewer</dc:creator>
  <cp:lastModifiedBy>Dana Brewer</cp:lastModifiedBy>
  <cp:lastPrinted>2018-03-05T13:26:02Z</cp:lastPrinted>
  <dcterms:created xsi:type="dcterms:W3CDTF">2018-02-11T20:21:32Z</dcterms:created>
  <dcterms:modified xsi:type="dcterms:W3CDTF">2018-03-05T16:57:40Z</dcterms:modified>
</cp:coreProperties>
</file>